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omments4.xml" ContentType="application/vnd.openxmlformats-officedocument.spreadsheetml.comment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comments5.xml" ContentType="application/vnd.openxmlformats-officedocument.spreadsheetml.comment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ThisWorkbook"/>
  <bookViews>
    <workbookView xWindow="-120" yWindow="-120" windowWidth="24240" windowHeight="13740" tabRatio="921" firstSheet="22" activeTab="36"/>
  </bookViews>
  <sheets>
    <sheet name="Naslovnica" sheetId="16" r:id="rId1"/>
    <sheet name="Naslovnica-nevažeća" sheetId="1" state="hidden" r:id="rId2"/>
    <sheet name="Prihodi-opći dio" sheetId="2" r:id="rId3"/>
    <sheet name="prihodi posebni dio" sheetId="37" r:id="rId4"/>
    <sheet name="GP PRIHODI 2021" sheetId="40" state="hidden" r:id="rId5"/>
    <sheet name="GP Prihodi" sheetId="39" r:id="rId6"/>
    <sheet name="Rashodi i izdaci-opći dio" sheetId="3" r:id="rId7"/>
    <sheet name="List4" sheetId="30" state="hidden" r:id="rId8"/>
    <sheet name="Rashodi i izdaci-poseban dio" sheetId="4" r:id="rId9"/>
    <sheet name="List6" sheetId="32" state="hidden" r:id="rId10"/>
    <sheet name="List3" sheetId="29" state="hidden" r:id="rId11"/>
    <sheet name="List2" sheetId="28" state="hidden" r:id="rId12"/>
    <sheet name="List1" sheetId="27" state="hidden" r:id="rId13"/>
    <sheet name="Služba za nekretnine" sheetId="41" r:id="rId14"/>
    <sheet name="Služba za kulturu-Prilog br. 1" sheetId="7" r:id="rId15"/>
    <sheet name="Služba za odgoj-Prilog br. 2" sheetId="9" r:id="rId16"/>
    <sheet name="Socijani segment-Prilog br.3" sheetId="10" r:id="rId17"/>
    <sheet name="Zaštita boraca-Prilog br.4" sheetId="11" r:id="rId18"/>
    <sheet name="Građenje i obnova-Prilog br.5" sheetId="12" r:id="rId19"/>
    <sheet name="Sl. za gr. inf GP Pri 6" sheetId="21" r:id="rId20"/>
    <sheet name="GP KAPITA GRA" sheetId="34" r:id="rId21"/>
    <sheet name="Sl za gra. Nak od ele. pr PR 7" sheetId="22" r:id="rId22"/>
    <sheet name="Slu izg inf stru ob Ka gran 8 " sheetId="25" r:id="rId23"/>
    <sheet name="Služba za privredu-Prilog br.9" sheetId="13" r:id="rId24"/>
    <sheet name="Sl. za kom. posl.-Prilog br. 10" sheetId="14" r:id="rId25"/>
    <sheet name="BSC Prilog br 11" sheetId="26" r:id="rId26"/>
    <sheet name="ASG tab 12" sheetId="15" r:id="rId27"/>
    <sheet name="Tekući grantovi" sheetId="43" state="hidden" r:id="rId28"/>
    <sheet name="List7" sheetId="44" state="hidden" r:id="rId29"/>
    <sheet name="GP prihodi tab 13" sheetId="8" state="hidden" r:id="rId30"/>
    <sheet name="List5" sheetId="42" state="hidden" r:id="rId31"/>
    <sheet name=" SL inf Kapitalni grantovi 14" sheetId="23" r:id="rId32"/>
    <sheet name="Tekući grantovi 15" sheetId="24" r:id="rId33"/>
    <sheet name="Fond" sheetId="5" state="hidden" r:id="rId34"/>
    <sheet name="Funkcija" sheetId="6" state="hidden" r:id="rId35"/>
    <sheet name="Agencija Stari grad-Pril. br. 9" sheetId="18" state="hidden" r:id="rId36"/>
    <sheet name="List8" sheetId="45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_xlnm.Print_Titles" localSheetId="31">' SL inf Kapitalni grantovi 14'!$2:$3</definedName>
    <definedName name="_xlnm.Print_Titles" localSheetId="35">'Agencija Stari grad-Pril. br. 9'!$1:$2</definedName>
    <definedName name="_xlnm.Print_Titles" localSheetId="5">'GP Prihodi'!$2:$4</definedName>
    <definedName name="_xlnm.Print_Titles" localSheetId="18">'Građenje i obnova-Prilog br.5'!$2:$4</definedName>
    <definedName name="_xlnm.Print_Titles" localSheetId="0">Naslovnica!$7:$7</definedName>
    <definedName name="_xlnm.Print_Titles" localSheetId="3">'prihodi posebni dio'!$3:$5</definedName>
    <definedName name="_xlnm.Print_Titles" localSheetId="2">'Prihodi-opći dio'!$3:$5</definedName>
    <definedName name="_xlnm.Print_Titles" localSheetId="6">'Rashodi i izdaci-opći dio'!$3:$5</definedName>
    <definedName name="_xlnm.Print_Titles" localSheetId="8">'Rashodi i izdaci-poseban dio'!$3:$5</definedName>
    <definedName name="_xlnm.Print_Titles" localSheetId="21">'Sl za gra. Nak od ele. pr PR 7'!$2:$3</definedName>
    <definedName name="_xlnm.Print_Titles" localSheetId="19">'Sl. za gr. inf GP Pri 6'!$2:$3</definedName>
    <definedName name="_xlnm.Print_Titles" localSheetId="24">'Sl. za kom. posl.-Prilog br. 10'!$2:$4</definedName>
    <definedName name="_xlnm.Print_Titles" localSheetId="22">'Slu izg inf stru ob Ka gran 8 '!$2:$3</definedName>
    <definedName name="_xlnm.Print_Titles" localSheetId="14">'Služba za kulturu-Prilog br. 1'!$2:$4</definedName>
    <definedName name="_xlnm.Print_Titles" localSheetId="15">'Služba za odgoj-Prilog br. 2'!$2:$4</definedName>
    <definedName name="_xlnm.Print_Titles" localSheetId="23">'Služba za privredu-Prilog br.9'!$2:$4</definedName>
    <definedName name="_xlnm.Print_Titles" localSheetId="16">'Socijani segment-Prilog br.3'!$2:$4</definedName>
    <definedName name="_xlnm.Print_Titles" localSheetId="32">'Tekući grantovi 15'!$1:$3</definedName>
    <definedName name="_xlnm.Print_Titles" localSheetId="17">'Zaštita boraca-Prilog br.4'!$2:$4</definedName>
    <definedName name="_xlnm.Print_Area" localSheetId="31">' SL inf Kapitalni grantovi 14'!$A$1:$E$120</definedName>
    <definedName name="_xlnm.Print_Area" localSheetId="26">'ASG tab 12'!$A$1:$M$29</definedName>
    <definedName name="_xlnm.Print_Area" localSheetId="25">'BSC Prilog br 11'!$A$1:$Q$11</definedName>
    <definedName name="_xlnm.Print_Area" localSheetId="33">Fond!$A$1:$G$24</definedName>
    <definedName name="_xlnm.Print_Area" localSheetId="34">Funkcija!$A$1:$J$24</definedName>
    <definedName name="_xlnm.Print_Area" localSheetId="20">'GP KAPITA GRA'!$A$1:$L$14</definedName>
    <definedName name="_xlnm.Print_Area" localSheetId="5">'GP Prihodi'!$A$1:$X$60</definedName>
    <definedName name="_xlnm.Print_Area" localSheetId="4">'GP PRIHODI 2021'!$A$1:$I$61</definedName>
    <definedName name="_xlnm.Print_Area" localSheetId="29">'GP prihodi tab 13'!$A$1:$I$62</definedName>
    <definedName name="_xlnm.Print_Area" localSheetId="18">'Građenje i obnova-Prilog br.5'!$A$1:$Q$24</definedName>
    <definedName name="_xlnm.Print_Area" localSheetId="0">Naslovnica!$A$1:$F$37</definedName>
    <definedName name="_xlnm.Print_Area" localSheetId="1">'Naslovnica-nevažeća'!$A$1:$F$23</definedName>
    <definedName name="_xlnm.Print_Area" localSheetId="3">'prihodi posebni dio'!$A$1:$AA$157</definedName>
    <definedName name="_xlnm.Print_Area" localSheetId="2">'Prihodi-opći dio'!$A$1:$K$215</definedName>
    <definedName name="_xlnm.Print_Area" localSheetId="6">'Rashodi i izdaci-opći dio'!$A$1:$P$48</definedName>
    <definedName name="_xlnm.Print_Area" localSheetId="8">'Rashodi i izdaci-poseban dio'!$A$1:$X$539</definedName>
    <definedName name="_xlnm.Print_Area" localSheetId="21">'Sl za gra. Nak od ele. pr PR 7'!$A$1:$J$74</definedName>
    <definedName name="_xlnm.Print_Area" localSheetId="19">'Sl. za gr. inf GP Pri 6'!$A$1:$K$167</definedName>
    <definedName name="_xlnm.Print_Area" localSheetId="24">'Sl. za kom. posl.-Prilog br. 10'!$A$1:$Q$57</definedName>
    <definedName name="_xlnm.Print_Area" localSheetId="22">'Slu izg inf stru ob Ka gran 8 '!$A$1:$J$25</definedName>
    <definedName name="_xlnm.Print_Area" localSheetId="14">'Služba za kulturu-Prilog br. 1'!$A$1:$Q$42</definedName>
    <definedName name="_xlnm.Print_Area" localSheetId="13">'Služba za nekretnine'!$A$1:$P$17</definedName>
    <definedName name="_xlnm.Print_Area" localSheetId="15">'Služba za odgoj-Prilog br. 2'!$A$1:$Q$74</definedName>
    <definedName name="_xlnm.Print_Area" localSheetId="23">'Služba za privredu-Prilog br.9'!$A$1:$Q$40</definedName>
    <definedName name="_xlnm.Print_Area" localSheetId="16">'Socijani segment-Prilog br.3'!$A$1:$Q$51</definedName>
    <definedName name="_xlnm.Print_Area" localSheetId="32">'Tekući grantovi 15'!$A$1:$F$93</definedName>
    <definedName name="_xlnm.Print_Area" localSheetId="17">'Zaštita boraca-Prilog br.4'!$A$1:$Q$21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4" i="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261"/>
  <c r="AB262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5"/>
  <c r="AB316"/>
  <c r="AB317"/>
  <c r="AB318"/>
  <c r="AB319"/>
  <c r="AB320"/>
  <c r="AB321"/>
  <c r="AB322"/>
  <c r="AB323"/>
  <c r="AB324"/>
  <c r="AB325"/>
  <c r="AB326"/>
  <c r="AB327"/>
  <c r="AB328"/>
  <c r="AB329"/>
  <c r="AB330"/>
  <c r="AB331"/>
  <c r="AB332"/>
  <c r="AB333"/>
  <c r="AB334"/>
  <c r="AB335"/>
  <c r="AB336"/>
  <c r="AB337"/>
  <c r="AB338"/>
  <c r="AB339"/>
  <c r="AB340"/>
  <c r="AB341"/>
  <c r="AB342"/>
  <c r="AB343"/>
  <c r="AB344"/>
  <c r="AB345"/>
  <c r="AB346"/>
  <c r="AB347"/>
  <c r="AB348"/>
  <c r="AB349"/>
  <c r="AB350"/>
  <c r="AB351"/>
  <c r="AB352"/>
  <c r="AB353"/>
  <c r="AB354"/>
  <c r="AB355"/>
  <c r="AB356"/>
  <c r="AB357"/>
  <c r="AB358"/>
  <c r="AB359"/>
  <c r="AB360"/>
  <c r="AB361"/>
  <c r="AB362"/>
  <c r="AB363"/>
  <c r="AB364"/>
  <c r="AB365"/>
  <c r="AB366"/>
  <c r="AB367"/>
  <c r="AB368"/>
  <c r="AB369"/>
  <c r="AB370"/>
  <c r="AB371"/>
  <c r="AB372"/>
  <c r="AB373"/>
  <c r="AB374"/>
  <c r="AB375"/>
  <c r="AB376"/>
  <c r="AB377"/>
  <c r="AB378"/>
  <c r="AB379"/>
  <c r="AB380"/>
  <c r="AB381"/>
  <c r="AB382"/>
  <c r="AB383"/>
  <c r="AB384"/>
  <c r="AB385"/>
  <c r="AB386"/>
  <c r="AB387"/>
  <c r="AB388"/>
  <c r="AB389"/>
  <c r="AB390"/>
  <c r="AB391"/>
  <c r="AB392"/>
  <c r="AB393"/>
  <c r="AB394"/>
  <c r="AB395"/>
  <c r="AB396"/>
  <c r="AB397"/>
  <c r="AB398"/>
  <c r="AB399"/>
  <c r="AB400"/>
  <c r="AB401"/>
  <c r="AB402"/>
  <c r="AB403"/>
  <c r="AB404"/>
  <c r="AB405"/>
  <c r="AB406"/>
  <c r="AB407"/>
  <c r="AB408"/>
  <c r="AB409"/>
  <c r="AB410"/>
  <c r="AB411"/>
  <c r="AB412"/>
  <c r="AB413"/>
  <c r="AB414"/>
  <c r="AB415"/>
  <c r="AB416"/>
  <c r="AB417"/>
  <c r="AB418"/>
  <c r="AB419"/>
  <c r="AB420"/>
  <c r="AB421"/>
  <c r="AB422"/>
  <c r="AB423"/>
  <c r="AB424"/>
  <c r="AB425"/>
  <c r="AB426"/>
  <c r="AB427"/>
  <c r="AB428"/>
  <c r="AB429"/>
  <c r="AB430"/>
  <c r="AB431"/>
  <c r="AB432"/>
  <c r="AB433"/>
  <c r="AB434"/>
  <c r="AB435"/>
  <c r="AB436"/>
  <c r="AB437"/>
  <c r="AB438"/>
  <c r="AB439"/>
  <c r="AB440"/>
  <c r="AB441"/>
  <c r="AB442"/>
  <c r="AB443"/>
  <c r="AB444"/>
  <c r="AB445"/>
  <c r="AB446"/>
  <c r="AB447"/>
  <c r="AB448"/>
  <c r="AB449"/>
  <c r="AB450"/>
  <c r="AB451"/>
  <c r="AB452"/>
  <c r="AB453"/>
  <c r="AB454"/>
  <c r="AB455"/>
  <c r="AB456"/>
  <c r="AB457"/>
  <c r="AB458"/>
  <c r="AB459"/>
  <c r="AB460"/>
  <c r="AB461"/>
  <c r="AB462"/>
  <c r="AB463"/>
  <c r="AB464"/>
  <c r="AB465"/>
  <c r="AB466"/>
  <c r="AB467"/>
  <c r="AB468"/>
  <c r="AB469"/>
  <c r="AB470"/>
  <c r="AB471"/>
  <c r="AB472"/>
  <c r="AB473"/>
  <c r="AB474"/>
  <c r="AB475"/>
  <c r="AB476"/>
  <c r="AB477"/>
  <c r="AB478"/>
  <c r="AB479"/>
  <c r="AB480"/>
  <c r="AB481"/>
  <c r="AB482"/>
  <c r="AB483"/>
  <c r="AB484"/>
  <c r="AB485"/>
  <c r="AB486"/>
  <c r="AB487"/>
  <c r="AB488"/>
  <c r="AB489"/>
  <c r="AB490"/>
  <c r="AB491"/>
  <c r="AB492"/>
  <c r="AB493"/>
  <c r="AB494"/>
  <c r="AB495"/>
  <c r="AB496"/>
  <c r="AB497"/>
  <c r="AB498"/>
  <c r="AB499"/>
  <c r="AB500"/>
  <c r="AB501"/>
  <c r="AB502"/>
  <c r="AB503"/>
  <c r="AB504"/>
  <c r="AB505"/>
  <c r="AB506"/>
  <c r="AB507"/>
  <c r="AB508"/>
  <c r="AB509"/>
  <c r="AB510"/>
  <c r="AB511"/>
  <c r="AB512"/>
  <c r="AB513"/>
  <c r="AB514"/>
  <c r="AB515"/>
  <c r="AB516"/>
  <c r="AB517"/>
  <c r="AB518"/>
  <c r="AB519"/>
  <c r="AB520"/>
  <c r="AB521"/>
  <c r="AB522"/>
  <c r="AB523"/>
  <c r="AB524"/>
  <c r="AB525"/>
  <c r="AB526"/>
  <c r="AB527"/>
  <c r="AB528"/>
  <c r="AB529"/>
  <c r="AB530"/>
  <c r="W530"/>
  <c r="W540"/>
  <c r="L6" i="22"/>
  <c r="J7"/>
  <c r="J8"/>
  <c r="J9"/>
  <c r="Z177" i="4" l="1"/>
  <c r="Z176"/>
  <c r="Z172"/>
  <c r="Z171"/>
  <c r="J217" i="2"/>
  <c r="I217"/>
  <c r="H217"/>
  <c r="G217"/>
  <c r="L113"/>
  <c r="L41"/>
  <c r="AB31" i="37"/>
  <c r="AB26"/>
  <c r="AB25"/>
  <c r="AB24"/>
  <c r="AB17"/>
  <c r="AB14"/>
  <c r="AB8"/>
  <c r="AC6"/>
  <c r="AB6"/>
  <c r="AC36"/>
  <c r="AB36"/>
  <c r="AB77"/>
  <c r="AB78"/>
  <c r="AB80"/>
  <c r="AC85"/>
  <c r="AB85"/>
  <c r="AB102"/>
  <c r="AB107"/>
  <c r="AB113"/>
  <c r="AB116"/>
  <c r="AB123"/>
  <c r="AB128"/>
  <c r="AB130"/>
  <c r="AB144"/>
  <c r="Z158"/>
  <c r="X158"/>
  <c r="W158"/>
  <c r="Y49" i="39"/>
  <c r="Z49" s="1"/>
  <c r="O867" i="3"/>
  <c r="M867"/>
  <c r="Q43"/>
  <c r="Q42"/>
  <c r="Q41"/>
  <c r="M41"/>
  <c r="Q39"/>
  <c r="Q38"/>
  <c r="Q36"/>
  <c r="R36"/>
  <c r="Q27"/>
  <c r="Q12"/>
  <c r="Q10"/>
  <c r="Q8"/>
  <c r="L27"/>
  <c r="AB531" i="4"/>
  <c r="AB532"/>
  <c r="AB533"/>
  <c r="AB534"/>
  <c r="AA6"/>
  <c r="Y6"/>
  <c r="Y8"/>
  <c r="Y19"/>
  <c r="Y37"/>
  <c r="Y26"/>
  <c r="Y43"/>
  <c r="Y45"/>
  <c r="Y60"/>
  <c r="Y72"/>
  <c r="Y78"/>
  <c r="Y96"/>
  <c r="Y115"/>
  <c r="Y120"/>
  <c r="Y128"/>
  <c r="Y130"/>
  <c r="Y131"/>
  <c r="Y132"/>
  <c r="Y135"/>
  <c r="Y141"/>
  <c r="Y143"/>
  <c r="Y153"/>
  <c r="Y162"/>
  <c r="Y169"/>
  <c r="Y170"/>
  <c r="Y202"/>
  <c r="V232"/>
  <c r="U232"/>
  <c r="T232"/>
  <c r="V223"/>
  <c r="U223"/>
  <c r="V221"/>
  <c r="U221"/>
  <c r="T221"/>
  <c r="V217"/>
  <c r="U217"/>
  <c r="T217"/>
  <c r="V214"/>
  <c r="U214"/>
  <c r="T214"/>
  <c r="V213"/>
  <c r="V212" s="1"/>
  <c r="U213"/>
  <c r="Y210"/>
  <c r="Y212"/>
  <c r="Y213"/>
  <c r="Y214"/>
  <c r="Y217"/>
  <c r="Y221"/>
  <c r="Y223"/>
  <c r="Y232"/>
  <c r="Y249"/>
  <c r="Y260"/>
  <c r="Y256"/>
  <c r="Y253"/>
  <c r="Y252"/>
  <c r="Y251"/>
  <c r="Y262"/>
  <c r="Y268"/>
  <c r="Y278"/>
  <c r="Z277"/>
  <c r="Y277"/>
  <c r="Y276"/>
  <c r="Y283"/>
  <c r="Y282"/>
  <c r="Y281"/>
  <c r="Y280"/>
  <c r="Y287"/>
  <c r="Y300"/>
  <c r="Y305"/>
  <c r="Y306"/>
  <c r="Y307"/>
  <c r="Y310"/>
  <c r="Y314"/>
  <c r="Y316"/>
  <c r="Y322"/>
  <c r="Y331"/>
  <c r="Y374"/>
  <c r="Y376"/>
  <c r="Y383"/>
  <c r="Y380"/>
  <c r="Y379"/>
  <c r="Y378"/>
  <c r="Y395"/>
  <c r="Y407"/>
  <c r="Y406"/>
  <c r="Y405"/>
  <c r="Y401"/>
  <c r="Y400"/>
  <c r="Z412"/>
  <c r="Z413"/>
  <c r="Z423"/>
  <c r="Y423"/>
  <c r="Y422"/>
  <c r="Y420"/>
  <c r="Y418"/>
  <c r="Y417"/>
  <c r="Y415"/>
  <c r="Y413"/>
  <c r="Y412"/>
  <c r="Y411"/>
  <c r="Y410"/>
  <c r="Z409"/>
  <c r="Y426"/>
  <c r="Y431"/>
  <c r="Y430"/>
  <c r="Y429"/>
  <c r="Y435"/>
  <c r="Y439"/>
  <c r="Y442"/>
  <c r="Y446"/>
  <c r="Y448"/>
  <c r="Y456"/>
  <c r="Y465"/>
  <c r="Y467"/>
  <c r="Y470"/>
  <c r="Y473"/>
  <c r="Y478"/>
  <c r="Y480"/>
  <c r="Y487"/>
  <c r="Y496"/>
  <c r="Y498"/>
  <c r="Y501"/>
  <c r="Y504"/>
  <c r="Y509"/>
  <c r="Y511"/>
  <c r="Y518"/>
  <c r="P400"/>
  <c r="S288"/>
  <c r="M6" i="12"/>
  <c r="J6" i="21"/>
  <c r="R6" i="13"/>
  <c r="L29"/>
  <c r="L30"/>
  <c r="L31"/>
  <c r="K7"/>
  <c r="I7"/>
  <c r="R6" i="14"/>
  <c r="R6" i="26"/>
  <c r="N5" i="15"/>
  <c r="M36" i="7"/>
  <c r="R33"/>
  <c r="R34"/>
  <c r="R35"/>
  <c r="R42"/>
  <c r="O7"/>
  <c r="N7"/>
  <c r="M7"/>
  <c r="O6"/>
  <c r="N6"/>
  <c r="R72" i="9"/>
  <c r="R73"/>
  <c r="R74"/>
  <c r="M67"/>
  <c r="O67"/>
  <c r="N67"/>
  <c r="L63"/>
  <c r="L64"/>
  <c r="L65"/>
  <c r="L66"/>
  <c r="L62"/>
  <c r="L44"/>
  <c r="L45"/>
  <c r="L46"/>
  <c r="L47"/>
  <c r="L48"/>
  <c r="L49"/>
  <c r="L50"/>
  <c r="L51"/>
  <c r="L52"/>
  <c r="L43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19"/>
  <c r="M46" i="10"/>
  <c r="O7"/>
  <c r="N7"/>
  <c r="N6" s="1"/>
  <c r="M7"/>
  <c r="M43"/>
  <c r="O31"/>
  <c r="O6" s="1"/>
  <c r="N31"/>
  <c r="M31"/>
  <c r="R6" i="11"/>
  <c r="I7"/>
  <c r="K21" i="12"/>
  <c r="J21"/>
  <c r="K20"/>
  <c r="J20"/>
  <c r="I20"/>
  <c r="I22" s="1"/>
  <c r="L19"/>
  <c r="L18"/>
  <c r="L17"/>
  <c r="L16"/>
  <c r="L15"/>
  <c r="L14"/>
  <c r="L13"/>
  <c r="L12"/>
  <c r="L11"/>
  <c r="L10"/>
  <c r="L9"/>
  <c r="L8"/>
  <c r="L7"/>
  <c r="K6"/>
  <c r="J6"/>
  <c r="I6"/>
  <c r="J12" i="22"/>
  <c r="J13"/>
  <c r="J14"/>
  <c r="J15"/>
  <c r="J16"/>
  <c r="J17"/>
  <c r="J18"/>
  <c r="J6"/>
  <c r="P14" i="13"/>
  <c r="N7"/>
  <c r="M7"/>
  <c r="O7"/>
  <c r="P16"/>
  <c r="P17"/>
  <c r="P18"/>
  <c r="P15" s="1"/>
  <c r="P33"/>
  <c r="R33" s="1"/>
  <c r="P34"/>
  <c r="P35"/>
  <c r="R35" s="1"/>
  <c r="P36"/>
  <c r="R36" s="1"/>
  <c r="P37"/>
  <c r="R8"/>
  <c r="R14"/>
  <c r="R16"/>
  <c r="R17"/>
  <c r="R18"/>
  <c r="R19"/>
  <c r="R20"/>
  <c r="R21"/>
  <c r="R22"/>
  <c r="R23"/>
  <c r="R24"/>
  <c r="R25"/>
  <c r="R26"/>
  <c r="R34"/>
  <c r="R37"/>
  <c r="R38"/>
  <c r="R39"/>
  <c r="R40"/>
  <c r="P52" i="14"/>
  <c r="P37"/>
  <c r="P34"/>
  <c r="P33"/>
  <c r="P32"/>
  <c r="P30"/>
  <c r="P21"/>
  <c r="P22"/>
  <c r="P23"/>
  <c r="P24"/>
  <c r="P25"/>
  <c r="P26"/>
  <c r="P27"/>
  <c r="P20"/>
  <c r="P18"/>
  <c r="P9"/>
  <c r="P10"/>
  <c r="P11"/>
  <c r="P12"/>
  <c r="P13"/>
  <c r="P14"/>
  <c r="P15"/>
  <c r="P16"/>
  <c r="P17"/>
  <c r="P8"/>
  <c r="N19"/>
  <c r="M19"/>
  <c r="M7"/>
  <c r="P7" i="26"/>
  <c r="R7" s="1"/>
  <c r="O6"/>
  <c r="M6"/>
  <c r="K6" i="15"/>
  <c r="K5" s="1"/>
  <c r="L6"/>
  <c r="T223" i="4" l="1"/>
  <c r="P7" i="14"/>
  <c r="P19"/>
  <c r="K22" i="12"/>
  <c r="T213" i="4"/>
  <c r="L20" i="12"/>
  <c r="L6"/>
  <c r="L21"/>
  <c r="J22"/>
  <c r="P32" i="13"/>
  <c r="O53" i="9"/>
  <c r="N53"/>
  <c r="M53"/>
  <c r="O18"/>
  <c r="O17" s="1"/>
  <c r="N18"/>
  <c r="N17" s="1"/>
  <c r="M18"/>
  <c r="M17"/>
  <c r="O8"/>
  <c r="N8"/>
  <c r="M8"/>
  <c r="O7"/>
  <c r="N7"/>
  <c r="O7" i="11"/>
  <c r="N7"/>
  <c r="N6" s="1"/>
  <c r="M7"/>
  <c r="O6"/>
  <c r="M6"/>
  <c r="O15" i="13"/>
  <c r="N15"/>
  <c r="N6" s="1"/>
  <c r="M15"/>
  <c r="O19" i="14"/>
  <c r="O7"/>
  <c r="N7"/>
  <c r="M101" i="21"/>
  <c r="U354" i="4"/>
  <c r="W356"/>
  <c r="R43" i="3"/>
  <c r="L162" i="21"/>
  <c r="L165" s="1"/>
  <c r="AA365" i="4"/>
  <c r="X62" i="37"/>
  <c r="Y43" i="39"/>
  <c r="Z43" s="1"/>
  <c r="Y44"/>
  <c r="Y45"/>
  <c r="Z45" s="1"/>
  <c r="Y42"/>
  <c r="Z42" s="1"/>
  <c r="Y8"/>
  <c r="Z8" s="1"/>
  <c r="Z55"/>
  <c r="Z24"/>
  <c r="Z17"/>
  <c r="Y50"/>
  <c r="Z50" s="1"/>
  <c r="Y51"/>
  <c r="Z51" s="1"/>
  <c r="Y52"/>
  <c r="Z52" s="1"/>
  <c r="Y36"/>
  <c r="Z36" s="1"/>
  <c r="Y37"/>
  <c r="Z37" s="1"/>
  <c r="Y38"/>
  <c r="Z38" s="1"/>
  <c r="Y35"/>
  <c r="Y30"/>
  <c r="Z30" s="1"/>
  <c r="Y28"/>
  <c r="Z28" s="1"/>
  <c r="Y29"/>
  <c r="Z29" s="1"/>
  <c r="Y27"/>
  <c r="Z27" s="1"/>
  <c r="Y22"/>
  <c r="Z22" s="1"/>
  <c r="Y23"/>
  <c r="Z23" s="1"/>
  <c r="Y24"/>
  <c r="Y21"/>
  <c r="Z21" s="1"/>
  <c r="Y15"/>
  <c r="Z15" s="1"/>
  <c r="Y16"/>
  <c r="Z16" s="1"/>
  <c r="Y17"/>
  <c r="Y14"/>
  <c r="Z14" s="1"/>
  <c r="Y9"/>
  <c r="Z9" s="1"/>
  <c r="Y10"/>
  <c r="Z10" s="1"/>
  <c r="Y11"/>
  <c r="Z11" s="1"/>
  <c r="AE8"/>
  <c r="AD8"/>
  <c r="AC8"/>
  <c r="AA9"/>
  <c r="AA10"/>
  <c r="AA11"/>
  <c r="AA13"/>
  <c r="AA14"/>
  <c r="AA15"/>
  <c r="AA16"/>
  <c r="AA17"/>
  <c r="AA18"/>
  <c r="AA20"/>
  <c r="AA21"/>
  <c r="AA22"/>
  <c r="AA23"/>
  <c r="AA24"/>
  <c r="AA26"/>
  <c r="AA27"/>
  <c r="AA28"/>
  <c r="AA29"/>
  <c r="AA30"/>
  <c r="AA31"/>
  <c r="AA32"/>
  <c r="AA34"/>
  <c r="AA35"/>
  <c r="AA36"/>
  <c r="AA37"/>
  <c r="AA38"/>
  <c r="AA39"/>
  <c r="AA41"/>
  <c r="AA42"/>
  <c r="AA43"/>
  <c r="AA44"/>
  <c r="AA45"/>
  <c r="AA46"/>
  <c r="AA48"/>
  <c r="AA49"/>
  <c r="AA50"/>
  <c r="AA51"/>
  <c r="AA52"/>
  <c r="AA53"/>
  <c r="AA54"/>
  <c r="AA8"/>
  <c r="K93" i="21"/>
  <c r="K94"/>
  <c r="K95"/>
  <c r="K96"/>
  <c r="K97"/>
  <c r="K98"/>
  <c r="K99"/>
  <c r="K100"/>
  <c r="K101"/>
  <c r="K102"/>
  <c r="K8" i="34"/>
  <c r="L9"/>
  <c r="O6" i="9" l="1"/>
  <c r="M7"/>
  <c r="T212" i="4"/>
  <c r="Z405"/>
  <c r="R15" i="13"/>
  <c r="N6" i="9"/>
  <c r="L22" i="12"/>
  <c r="Z58" i="39"/>
  <c r="Y58"/>
  <c r="Y57"/>
  <c r="Y60"/>
  <c r="Z35"/>
  <c r="Z57" s="1"/>
  <c r="Z44"/>
  <c r="Z59" s="1"/>
  <c r="Z60"/>
  <c r="AA58"/>
  <c r="AA60"/>
  <c r="Y59"/>
  <c r="Z61" l="1"/>
  <c r="AA61" s="1"/>
  <c r="AA57"/>
  <c r="AA55" s="1"/>
  <c r="AA59"/>
  <c r="M8" i="15" l="1"/>
  <c r="M9"/>
  <c r="M10"/>
  <c r="M11"/>
  <c r="M12"/>
  <c r="M13"/>
  <c r="M14"/>
  <c r="M15"/>
  <c r="M16"/>
  <c r="M17"/>
  <c r="M18"/>
  <c r="M19"/>
  <c r="M20"/>
  <c r="M21"/>
  <c r="M22"/>
  <c r="M23"/>
  <c r="M24"/>
  <c r="AC7" i="4"/>
  <c r="AC44"/>
  <c r="AC79"/>
  <c r="AC103"/>
  <c r="AC126"/>
  <c r="AC127"/>
  <c r="AC129"/>
  <c r="AC161"/>
  <c r="AC207"/>
  <c r="AC208"/>
  <c r="AC209"/>
  <c r="AC211"/>
  <c r="AC244"/>
  <c r="AC250"/>
  <c r="AC275"/>
  <c r="AC299"/>
  <c r="AC304"/>
  <c r="AC352"/>
  <c r="AC356"/>
  <c r="AC357"/>
  <c r="AC360"/>
  <c r="AC363"/>
  <c r="AC426"/>
  <c r="AC427"/>
  <c r="AC428"/>
  <c r="AC436"/>
  <c r="AC468"/>
  <c r="AC499"/>
  <c r="Y46" i="39"/>
  <c r="Y53"/>
  <c r="Y54"/>
  <c r="S40"/>
  <c r="V40"/>
  <c r="AA40" s="1"/>
  <c r="V25"/>
  <c r="AA25" s="1"/>
  <c r="N867" i="3" l="1"/>
  <c r="L867"/>
  <c r="R31"/>
  <c r="R27"/>
  <c r="R22"/>
  <c r="R12"/>
  <c r="R10"/>
  <c r="R7"/>
  <c r="AA10" i="4" l="1"/>
  <c r="AA13"/>
  <c r="AA17"/>
  <c r="AA19"/>
  <c r="AA26"/>
  <c r="AA37"/>
  <c r="AA43"/>
  <c r="AA47"/>
  <c r="AA50"/>
  <c r="AA54"/>
  <c r="AA56"/>
  <c r="AA60"/>
  <c r="AA72"/>
  <c r="AA78"/>
  <c r="AA82"/>
  <c r="AA85"/>
  <c r="AA89"/>
  <c r="AA91"/>
  <c r="AA96"/>
  <c r="AA102"/>
  <c r="AA106"/>
  <c r="AA109"/>
  <c r="AA113"/>
  <c r="AA115"/>
  <c r="AA120"/>
  <c r="AA128"/>
  <c r="AA130"/>
  <c r="AA135"/>
  <c r="AA141"/>
  <c r="AA143"/>
  <c r="AA153"/>
  <c r="AA162"/>
  <c r="AA169"/>
  <c r="AA170"/>
  <c r="AA185"/>
  <c r="AA202"/>
  <c r="AA210"/>
  <c r="AA214"/>
  <c r="AA217"/>
  <c r="AA221"/>
  <c r="AA223"/>
  <c r="AA232"/>
  <c r="AA249"/>
  <c r="AA253"/>
  <c r="AA256"/>
  <c r="AA260"/>
  <c r="AA262"/>
  <c r="AA268"/>
  <c r="AA278"/>
  <c r="AA276"/>
  <c r="AA280"/>
  <c r="AA287"/>
  <c r="AA300"/>
  <c r="AA303"/>
  <c r="AA307"/>
  <c r="AA310"/>
  <c r="AA314"/>
  <c r="AA316"/>
  <c r="AA322"/>
  <c r="AA331"/>
  <c r="AA359"/>
  <c r="AA351"/>
  <c r="AA348"/>
  <c r="AA345"/>
  <c r="U341"/>
  <c r="AA341"/>
  <c r="AA374"/>
  <c r="AA376"/>
  <c r="AA378"/>
  <c r="AA400"/>
  <c r="AA422"/>
  <c r="AA423"/>
  <c r="AA413"/>
  <c r="AA411"/>
  <c r="AA410"/>
  <c r="AA409"/>
  <c r="AA426"/>
  <c r="AA429"/>
  <c r="AA435"/>
  <c r="AA467"/>
  <c r="AA498"/>
  <c r="P8" i="7"/>
  <c r="L21" i="11"/>
  <c r="L20"/>
  <c r="L19"/>
  <c r="L18"/>
  <c r="L17"/>
  <c r="L16"/>
  <c r="L15"/>
  <c r="L14"/>
  <c r="L13"/>
  <c r="L12"/>
  <c r="L11"/>
  <c r="L10"/>
  <c r="L9"/>
  <c r="L8"/>
  <c r="K7"/>
  <c r="K6" s="1"/>
  <c r="J7"/>
  <c r="J6" s="1"/>
  <c r="I6"/>
  <c r="I12" i="34"/>
  <c r="I11"/>
  <c r="I10"/>
  <c r="H8"/>
  <c r="G8"/>
  <c r="I7"/>
  <c r="H6"/>
  <c r="H5" s="1"/>
  <c r="G6"/>
  <c r="L7" i="11" l="1"/>
  <c r="L6" s="1"/>
  <c r="R8" i="7"/>
  <c r="I8" i="34"/>
  <c r="I6"/>
  <c r="G5"/>
  <c r="I5"/>
  <c r="J10" i="22"/>
  <c r="J11"/>
  <c r="O32" i="13"/>
  <c r="M32"/>
  <c r="T26"/>
  <c r="U26"/>
  <c r="V50" i="14"/>
  <c r="S23"/>
  <c r="S50"/>
  <c r="R32" i="13" l="1"/>
  <c r="M6"/>
  <c r="V23" i="14"/>
  <c r="K155" i="21"/>
  <c r="K156"/>
  <c r="K157"/>
  <c r="K158"/>
  <c r="K159"/>
  <c r="M124"/>
  <c r="K92" l="1"/>
  <c r="K103"/>
  <c r="K104"/>
  <c r="J91"/>
  <c r="M92" s="1"/>
  <c r="J32" l="1"/>
  <c r="K33"/>
  <c r="J52"/>
  <c r="K54"/>
  <c r="K55"/>
  <c r="K53"/>
  <c r="I5" i="22"/>
  <c r="L9" s="1"/>
  <c r="V47" i="39"/>
  <c r="W40"/>
  <c r="V33"/>
  <c r="AA33" s="1"/>
  <c r="AC50" i="37"/>
  <c r="V12" i="39"/>
  <c r="AA12" s="1"/>
  <c r="V6"/>
  <c r="AC41" i="37" s="1"/>
  <c r="Y47" i="39" l="1"/>
  <c r="AA47"/>
  <c r="AC53" i="37"/>
  <c r="AC44"/>
  <c r="Y12" i="39"/>
  <c r="AA395" i="4"/>
  <c r="AA406"/>
  <c r="AA420"/>
  <c r="AA412"/>
  <c r="P30" i="13"/>
  <c r="R30" s="1"/>
  <c r="V10" i="14" l="1"/>
  <c r="S10"/>
  <c r="V17"/>
  <c r="S17"/>
  <c r="S8"/>
  <c r="V8"/>
  <c r="V9"/>
  <c r="S9"/>
  <c r="S16"/>
  <c r="V16"/>
  <c r="S12"/>
  <c r="V12"/>
  <c r="V14"/>
  <c r="S14"/>
  <c r="V13"/>
  <c r="S13"/>
  <c r="V15"/>
  <c r="S15"/>
  <c r="V11"/>
  <c r="S11"/>
  <c r="V540" i="4"/>
  <c r="V278"/>
  <c r="AA277"/>
  <c r="P54" i="9"/>
  <c r="R54" s="1"/>
  <c r="P45"/>
  <c r="R45" s="1"/>
  <c r="P46"/>
  <c r="R46" s="1"/>
  <c r="P47"/>
  <c r="R47" s="1"/>
  <c r="P48"/>
  <c r="R48" s="1"/>
  <c r="P49"/>
  <c r="R49" s="1"/>
  <c r="P50"/>
  <c r="R50" s="1"/>
  <c r="P51"/>
  <c r="R51" s="1"/>
  <c r="P52"/>
  <c r="R52" s="1"/>
  <c r="P44"/>
  <c r="R44" s="1"/>
  <c r="P14"/>
  <c r="R14" s="1"/>
  <c r="P15"/>
  <c r="R15" s="1"/>
  <c r="P16"/>
  <c r="R16" s="1"/>
  <c r="P19"/>
  <c r="P10"/>
  <c r="R10" s="1"/>
  <c r="P11"/>
  <c r="R11" s="1"/>
  <c r="P12"/>
  <c r="R12" s="1"/>
  <c r="P13"/>
  <c r="R13" s="1"/>
  <c r="P9"/>
  <c r="R9" s="1"/>
  <c r="AA286" i="4"/>
  <c r="AA282"/>
  <c r="AA281"/>
  <c r="T286"/>
  <c r="T282"/>
  <c r="T281"/>
  <c r="T289"/>
  <c r="AA289"/>
  <c r="U288"/>
  <c r="AA290"/>
  <c r="R52" i="10"/>
  <c r="R53"/>
  <c r="P21" i="7"/>
  <c r="R21" s="1"/>
  <c r="P22"/>
  <c r="R22" s="1"/>
  <c r="P23"/>
  <c r="R23" s="1"/>
  <c r="P24"/>
  <c r="R24" s="1"/>
  <c r="P25"/>
  <c r="R25" s="1"/>
  <c r="P26"/>
  <c r="R26" s="1"/>
  <c r="P27"/>
  <c r="R27" s="1"/>
  <c r="P28"/>
  <c r="R28" s="1"/>
  <c r="P29"/>
  <c r="R29" s="1"/>
  <c r="P30"/>
  <c r="R30" s="1"/>
  <c r="P31"/>
  <c r="R31" s="1"/>
  <c r="P20"/>
  <c r="R20" s="1"/>
  <c r="P9"/>
  <c r="P10"/>
  <c r="R10" s="1"/>
  <c r="P11"/>
  <c r="R11" s="1"/>
  <c r="P12"/>
  <c r="R12" s="1"/>
  <c r="P13"/>
  <c r="R13" s="1"/>
  <c r="G39" i="13"/>
  <c r="G21" i="12"/>
  <c r="G50" i="10"/>
  <c r="G41" i="7"/>
  <c r="R9" l="1"/>
  <c r="P7"/>
  <c r="R19" i="9"/>
  <c r="P8"/>
  <c r="T9"/>
  <c r="T10"/>
  <c r="T11"/>
  <c r="T12"/>
  <c r="T13"/>
  <c r="T14"/>
  <c r="T15"/>
  <c r="T16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4"/>
  <c r="T55"/>
  <c r="T56"/>
  <c r="T57"/>
  <c r="T59"/>
  <c r="T60"/>
  <c r="T61"/>
  <c r="T62"/>
  <c r="T63"/>
  <c r="T64"/>
  <c r="T65"/>
  <c r="T66"/>
  <c r="T68"/>
  <c r="T69"/>
  <c r="T70"/>
  <c r="T71"/>
  <c r="T73"/>
  <c r="P7" l="1"/>
  <c r="R8"/>
  <c r="R7" i="7"/>
  <c r="P28" i="13"/>
  <c r="R28" s="1"/>
  <c r="P29"/>
  <c r="R29" s="1"/>
  <c r="P31"/>
  <c r="P27"/>
  <c r="R27" s="1"/>
  <c r="T18"/>
  <c r="P10"/>
  <c r="P11"/>
  <c r="R11" s="1"/>
  <c r="P12"/>
  <c r="P13"/>
  <c r="P9"/>
  <c r="T8"/>
  <c r="T14"/>
  <c r="T17"/>
  <c r="T19"/>
  <c r="T20"/>
  <c r="T21"/>
  <c r="T22"/>
  <c r="T23"/>
  <c r="T24"/>
  <c r="T25"/>
  <c r="T28"/>
  <c r="I9" i="16"/>
  <c r="F19"/>
  <c r="F32"/>
  <c r="F16" i="23"/>
  <c r="F120"/>
  <c r="E33"/>
  <c r="E24"/>
  <c r="D24"/>
  <c r="C24"/>
  <c r="E16"/>
  <c r="F12" i="24"/>
  <c r="G88"/>
  <c r="F22"/>
  <c r="G20"/>
  <c r="G11"/>
  <c r="F6" i="23"/>
  <c r="O6" i="14"/>
  <c r="T9"/>
  <c r="T8"/>
  <c r="T10"/>
  <c r="T11"/>
  <c r="T12"/>
  <c r="T13"/>
  <c r="T14"/>
  <c r="T15"/>
  <c r="T16"/>
  <c r="T17"/>
  <c r="T50"/>
  <c r="T58"/>
  <c r="T59"/>
  <c r="AA251" i="4"/>
  <c r="AA366"/>
  <c r="AC56" i="37"/>
  <c r="AC59"/>
  <c r="V55" i="39"/>
  <c r="AC62" i="37" s="1"/>
  <c r="AC155"/>
  <c r="AC145"/>
  <c r="G124" i="2"/>
  <c r="G37" s="1"/>
  <c r="G7"/>
  <c r="M179"/>
  <c r="W245" i="4"/>
  <c r="AE5"/>
  <c r="AE7"/>
  <c r="AE44"/>
  <c r="AE79"/>
  <c r="AE103"/>
  <c r="AE126"/>
  <c r="AE127"/>
  <c r="AE129"/>
  <c r="AE161"/>
  <c r="AE207"/>
  <c r="AE208"/>
  <c r="AE209"/>
  <c r="AE211"/>
  <c r="AE244"/>
  <c r="AE250"/>
  <c r="AE275"/>
  <c r="AE299"/>
  <c r="AE304"/>
  <c r="AE352"/>
  <c r="AE356"/>
  <c r="AE357"/>
  <c r="AE360"/>
  <c r="AE363"/>
  <c r="AE426"/>
  <c r="AE427"/>
  <c r="AE428"/>
  <c r="AE436"/>
  <c r="AE468"/>
  <c r="AE499"/>
  <c r="S47" i="9"/>
  <c r="S6"/>
  <c r="S17"/>
  <c r="S8"/>
  <c r="W164" i="4"/>
  <c r="W165"/>
  <c r="W166"/>
  <c r="W167"/>
  <c r="W168"/>
  <c r="T85"/>
  <c r="T54"/>
  <c r="AD7"/>
  <c r="AD44"/>
  <c r="AD79"/>
  <c r="AD103"/>
  <c r="AD127"/>
  <c r="AD129"/>
  <c r="AD161"/>
  <c r="AD209"/>
  <c r="AD211"/>
  <c r="AD250"/>
  <c r="AD304"/>
  <c r="AD377"/>
  <c r="AD436"/>
  <c r="AD468"/>
  <c r="AD499"/>
  <c r="AD534"/>
  <c r="AD535"/>
  <c r="T11" i="13" l="1"/>
  <c r="T12"/>
  <c r="R12"/>
  <c r="AC165" i="4"/>
  <c r="AC245"/>
  <c r="T31" i="13"/>
  <c r="R31"/>
  <c r="AC166" i="4"/>
  <c r="AC168"/>
  <c r="AC164"/>
  <c r="AE245"/>
  <c r="T9" i="13"/>
  <c r="R9"/>
  <c r="P7"/>
  <c r="T10"/>
  <c r="R10"/>
  <c r="AC167" i="4"/>
  <c r="T13" i="13"/>
  <c r="R13"/>
  <c r="R7" i="9"/>
  <c r="T27" i="13"/>
  <c r="T16"/>
  <c r="V18" i="14"/>
  <c r="S18"/>
  <c r="L106" i="2"/>
  <c r="T18" i="14"/>
  <c r="S7"/>
  <c r="AE166" i="4"/>
  <c r="AE168"/>
  <c r="AE164"/>
  <c r="AE167"/>
  <c r="AE165"/>
  <c r="F18" i="16"/>
  <c r="T14" i="3"/>
  <c r="P21" i="11"/>
  <c r="S21" s="1"/>
  <c r="P48" i="10"/>
  <c r="E16" i="41"/>
  <c r="G16" s="1"/>
  <c r="G15"/>
  <c r="G14"/>
  <c r="G13"/>
  <c r="G12"/>
  <c r="G11"/>
  <c r="G10"/>
  <c r="G9"/>
  <c r="G8"/>
  <c r="G7"/>
  <c r="F6"/>
  <c r="E6"/>
  <c r="D6"/>
  <c r="H34" i="3"/>
  <c r="J30"/>
  <c r="H29"/>
  <c r="H13"/>
  <c r="P6" i="13" l="1"/>
  <c r="Z400" i="4" s="1"/>
  <c r="R7" i="13"/>
  <c r="S48" i="10"/>
  <c r="R48"/>
  <c r="G6" i="41"/>
  <c r="P14" i="7"/>
  <c r="P15"/>
  <c r="R15" s="1"/>
  <c r="P16"/>
  <c r="R16" s="1"/>
  <c r="P17"/>
  <c r="R17" s="1"/>
  <c r="P18"/>
  <c r="R18" s="1"/>
  <c r="P32"/>
  <c r="R32" s="1"/>
  <c r="P39"/>
  <c r="R39" s="1"/>
  <c r="P40"/>
  <c r="R40" s="1"/>
  <c r="P41"/>
  <c r="R41" s="1"/>
  <c r="P37"/>
  <c r="P38"/>
  <c r="R38" s="1"/>
  <c r="P59" i="9"/>
  <c r="R59" s="1"/>
  <c r="P55"/>
  <c r="P56"/>
  <c r="R56" s="1"/>
  <c r="P57"/>
  <c r="R57" s="1"/>
  <c r="P20"/>
  <c r="P21"/>
  <c r="R21" s="1"/>
  <c r="P22"/>
  <c r="R22" s="1"/>
  <c r="P23"/>
  <c r="R23" s="1"/>
  <c r="P24"/>
  <c r="R24" s="1"/>
  <c r="P25"/>
  <c r="R25" s="1"/>
  <c r="P26"/>
  <c r="R26" s="1"/>
  <c r="P27"/>
  <c r="R27" s="1"/>
  <c r="P28"/>
  <c r="R28" s="1"/>
  <c r="P29"/>
  <c r="R29" s="1"/>
  <c r="P30"/>
  <c r="R30" s="1"/>
  <c r="P31"/>
  <c r="R31" s="1"/>
  <c r="P32"/>
  <c r="R32" s="1"/>
  <c r="P33"/>
  <c r="R33" s="1"/>
  <c r="P34"/>
  <c r="R34" s="1"/>
  <c r="P35"/>
  <c r="R35" s="1"/>
  <c r="P36"/>
  <c r="R36" s="1"/>
  <c r="P37"/>
  <c r="R37" s="1"/>
  <c r="P38"/>
  <c r="R38" s="1"/>
  <c r="P39"/>
  <c r="R39" s="1"/>
  <c r="P40"/>
  <c r="R40" s="1"/>
  <c r="P41"/>
  <c r="R41" s="1"/>
  <c r="P42"/>
  <c r="R42" s="1"/>
  <c r="P32" i="10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8"/>
  <c r="P7" s="1"/>
  <c r="P44"/>
  <c r="P40"/>
  <c r="P41"/>
  <c r="P42"/>
  <c r="P39"/>
  <c r="P33"/>
  <c r="P34"/>
  <c r="P35"/>
  <c r="P36"/>
  <c r="P37"/>
  <c r="P45"/>
  <c r="P49"/>
  <c r="R49" s="1"/>
  <c r="P50"/>
  <c r="R50" s="1"/>
  <c r="P51"/>
  <c r="R51" s="1"/>
  <c r="P47"/>
  <c r="M7" i="15"/>
  <c r="N6"/>
  <c r="R32" i="10" l="1"/>
  <c r="P31"/>
  <c r="R37" i="7"/>
  <c r="P36"/>
  <c r="R36" s="1"/>
  <c r="P53" i="9"/>
  <c r="R53" s="1"/>
  <c r="R55"/>
  <c r="R14" i="7"/>
  <c r="R20" i="9"/>
  <c r="P18"/>
  <c r="R18" s="1"/>
  <c r="S47" i="10"/>
  <c r="R47"/>
  <c r="S30"/>
  <c r="R30"/>
  <c r="S14"/>
  <c r="R14"/>
  <c r="S37"/>
  <c r="R37"/>
  <c r="S33"/>
  <c r="R33"/>
  <c r="S40"/>
  <c r="R40"/>
  <c r="S29"/>
  <c r="R29"/>
  <c r="S25"/>
  <c r="R25"/>
  <c r="S21"/>
  <c r="R21"/>
  <c r="S17"/>
  <c r="R17"/>
  <c r="S13"/>
  <c r="R13"/>
  <c r="S9"/>
  <c r="R9"/>
  <c r="S45"/>
  <c r="R45"/>
  <c r="S41"/>
  <c r="R41"/>
  <c r="S22"/>
  <c r="R22"/>
  <c r="S10"/>
  <c r="R10"/>
  <c r="S36"/>
  <c r="R36"/>
  <c r="S39"/>
  <c r="R39"/>
  <c r="S44"/>
  <c r="R44"/>
  <c r="S28"/>
  <c r="R28"/>
  <c r="S24"/>
  <c r="R24"/>
  <c r="S20"/>
  <c r="R20"/>
  <c r="S16"/>
  <c r="R16"/>
  <c r="S12"/>
  <c r="R12"/>
  <c r="S34"/>
  <c r="R34"/>
  <c r="S26"/>
  <c r="R26"/>
  <c r="S18"/>
  <c r="R18"/>
  <c r="S35"/>
  <c r="R35"/>
  <c r="S42"/>
  <c r="R42"/>
  <c r="S8"/>
  <c r="R8"/>
  <c r="S27"/>
  <c r="R27"/>
  <c r="S23"/>
  <c r="R23"/>
  <c r="S19"/>
  <c r="R19"/>
  <c r="S15"/>
  <c r="R15"/>
  <c r="S11"/>
  <c r="R11"/>
  <c r="P38"/>
  <c r="P43"/>
  <c r="S32"/>
  <c r="AG174" i="4"/>
  <c r="AG173"/>
  <c r="AG172"/>
  <c r="AG171"/>
  <c r="P40" i="3"/>
  <c r="AG6" i="4"/>
  <c r="O28" i="3"/>
  <c r="O14"/>
  <c r="O15"/>
  <c r="O16"/>
  <c r="O17"/>
  <c r="O18"/>
  <c r="O19"/>
  <c r="O20"/>
  <c r="O21"/>
  <c r="O22"/>
  <c r="O23"/>
  <c r="O24"/>
  <c r="O25"/>
  <c r="O26"/>
  <c r="O13"/>
  <c r="K15"/>
  <c r="K16"/>
  <c r="K18"/>
  <c r="K20"/>
  <c r="K22"/>
  <c r="K23"/>
  <c r="K24"/>
  <c r="K25"/>
  <c r="K26"/>
  <c r="O30"/>
  <c r="J194" i="2"/>
  <c r="J177"/>
  <c r="L147"/>
  <c r="P17" i="9" l="1"/>
  <c r="P24" i="3"/>
  <c r="P20"/>
  <c r="P25"/>
  <c r="P26"/>
  <c r="P22"/>
  <c r="P18"/>
  <c r="P16"/>
  <c r="P23"/>
  <c r="P15"/>
  <c r="P9" i="11"/>
  <c r="S9" s="1"/>
  <c r="P10"/>
  <c r="S10" s="1"/>
  <c r="P11"/>
  <c r="S11" s="1"/>
  <c r="P12"/>
  <c r="S12" s="1"/>
  <c r="P13"/>
  <c r="S13" s="1"/>
  <c r="P14"/>
  <c r="S14" s="1"/>
  <c r="P15"/>
  <c r="S15" s="1"/>
  <c r="P16"/>
  <c r="S16" s="1"/>
  <c r="P17"/>
  <c r="S17" s="1"/>
  <c r="P18"/>
  <c r="S18" s="1"/>
  <c r="P19"/>
  <c r="S19" s="1"/>
  <c r="P20"/>
  <c r="S20" s="1"/>
  <c r="P8"/>
  <c r="P69" i="9"/>
  <c r="R69" s="1"/>
  <c r="P70"/>
  <c r="R70" s="1"/>
  <c r="P71"/>
  <c r="R71" s="1"/>
  <c r="P68"/>
  <c r="M58"/>
  <c r="M6" l="1"/>
  <c r="S8" i="11"/>
  <c r="P7"/>
  <c r="P6" s="1"/>
  <c r="Z300" i="4" s="1"/>
  <c r="R68" i="9"/>
  <c r="P67"/>
  <c r="R67" s="1"/>
  <c r="R17"/>
  <c r="T284" i="4"/>
  <c r="AA284"/>
  <c r="G38" i="13" l="1"/>
  <c r="AJ7" i="4"/>
  <c r="AJ44"/>
  <c r="AJ79"/>
  <c r="AJ103"/>
  <c r="AJ126"/>
  <c r="AJ127"/>
  <c r="AJ129"/>
  <c r="AJ161"/>
  <c r="AJ207"/>
  <c r="AJ208"/>
  <c r="AJ209"/>
  <c r="AJ211"/>
  <c r="AJ244"/>
  <c r="AJ245"/>
  <c r="AJ250"/>
  <c r="AJ275"/>
  <c r="AJ299"/>
  <c r="AJ304"/>
  <c r="AJ352"/>
  <c r="AJ356"/>
  <c r="AJ357"/>
  <c r="AJ360"/>
  <c r="AJ363"/>
  <c r="AJ426"/>
  <c r="AJ427"/>
  <c r="AJ428"/>
  <c r="AJ436"/>
  <c r="AJ468"/>
  <c r="AJ499"/>
  <c r="X127"/>
  <c r="X161"/>
  <c r="X209"/>
  <c r="S428"/>
  <c r="S427"/>
  <c r="S431"/>
  <c r="S432"/>
  <c r="S433"/>
  <c r="S434"/>
  <c r="S430"/>
  <c r="P429"/>
  <c r="P465"/>
  <c r="P456"/>
  <c r="P448" s="1"/>
  <c r="P446"/>
  <c r="P442"/>
  <c r="P439"/>
  <c r="P438"/>
  <c r="P496"/>
  <c r="P487"/>
  <c r="P480"/>
  <c r="P478"/>
  <c r="P473"/>
  <c r="P469" s="1"/>
  <c r="P470"/>
  <c r="P527"/>
  <c r="P518"/>
  <c r="P511" s="1"/>
  <c r="P509"/>
  <c r="K38" i="2"/>
  <c r="K112"/>
  <c r="K176"/>
  <c r="K212"/>
  <c r="K213"/>
  <c r="Z13" i="39"/>
  <c r="Z18"/>
  <c r="Z20"/>
  <c r="Z32"/>
  <c r="Z53"/>
  <c r="Z54"/>
  <c r="AH5" i="4"/>
  <c r="AH7"/>
  <c r="AH11"/>
  <c r="AH12"/>
  <c r="AH14"/>
  <c r="AH15"/>
  <c r="AH16"/>
  <c r="AH18"/>
  <c r="AH20"/>
  <c r="AH21"/>
  <c r="AH22"/>
  <c r="AH23"/>
  <c r="AH24"/>
  <c r="AH25"/>
  <c r="AH27"/>
  <c r="AH28"/>
  <c r="AH29"/>
  <c r="AH30"/>
  <c r="AH31"/>
  <c r="AH32"/>
  <c r="AH33"/>
  <c r="AH34"/>
  <c r="AH35"/>
  <c r="AH36"/>
  <c r="AH38"/>
  <c r="AH39"/>
  <c r="AH40"/>
  <c r="AH41"/>
  <c r="AH42"/>
  <c r="AH44"/>
  <c r="AH48"/>
  <c r="AH49"/>
  <c r="AH51"/>
  <c r="AH52"/>
  <c r="AH53"/>
  <c r="AH55"/>
  <c r="AH57"/>
  <c r="AH58"/>
  <c r="AH59"/>
  <c r="AH61"/>
  <c r="AH62"/>
  <c r="AH63"/>
  <c r="AH64"/>
  <c r="AH65"/>
  <c r="AH66"/>
  <c r="AH67"/>
  <c r="AH68"/>
  <c r="AH69"/>
  <c r="AH70"/>
  <c r="AH71"/>
  <c r="AH73"/>
  <c r="AH74"/>
  <c r="AH75"/>
  <c r="AH76"/>
  <c r="AH77"/>
  <c r="AH79"/>
  <c r="AH83"/>
  <c r="AH84"/>
  <c r="AH86"/>
  <c r="AH87"/>
  <c r="AH88"/>
  <c r="AH90"/>
  <c r="AH92"/>
  <c r="AH93"/>
  <c r="AH94"/>
  <c r="AH95"/>
  <c r="AH97"/>
  <c r="AH98"/>
  <c r="AH99"/>
  <c r="AH100"/>
  <c r="AH101"/>
  <c r="AH103"/>
  <c r="AH107"/>
  <c r="AH108"/>
  <c r="AH110"/>
  <c r="AH111"/>
  <c r="AH112"/>
  <c r="AH114"/>
  <c r="AH116"/>
  <c r="AH117"/>
  <c r="AH118"/>
  <c r="AH119"/>
  <c r="AH121"/>
  <c r="AH122"/>
  <c r="AH123"/>
  <c r="AH124"/>
  <c r="AH125"/>
  <c r="AH127"/>
  <c r="AH129"/>
  <c r="AH133"/>
  <c r="AH134"/>
  <c r="AH136"/>
  <c r="AH137"/>
  <c r="AH138"/>
  <c r="AH139"/>
  <c r="AH140"/>
  <c r="AH142"/>
  <c r="AH144"/>
  <c r="AH145"/>
  <c r="AH146"/>
  <c r="AH147"/>
  <c r="AH148"/>
  <c r="AH149"/>
  <c r="AH150"/>
  <c r="AH151"/>
  <c r="AH152"/>
  <c r="AH154"/>
  <c r="AH155"/>
  <c r="AH156"/>
  <c r="AH157"/>
  <c r="AH158"/>
  <c r="AH159"/>
  <c r="AH160"/>
  <c r="AH161"/>
  <c r="AH163"/>
  <c r="AH165"/>
  <c r="AH166"/>
  <c r="AH167"/>
  <c r="AH168"/>
  <c r="AH171"/>
  <c r="AH172"/>
  <c r="AH173"/>
  <c r="AH174"/>
  <c r="AH175"/>
  <c r="AH176"/>
  <c r="AH177"/>
  <c r="AH178"/>
  <c r="AH179"/>
  <c r="AH180"/>
  <c r="AH181"/>
  <c r="AH182"/>
  <c r="AH183"/>
  <c r="AH184"/>
  <c r="AH186"/>
  <c r="AH187"/>
  <c r="AH188"/>
  <c r="AH189"/>
  <c r="AH190"/>
  <c r="AH191"/>
  <c r="AH192"/>
  <c r="AH193"/>
  <c r="AH194"/>
  <c r="AH195"/>
  <c r="AH196"/>
  <c r="AH197"/>
  <c r="AH198"/>
  <c r="AH199"/>
  <c r="AH200"/>
  <c r="AH201"/>
  <c r="AH203"/>
  <c r="AH204"/>
  <c r="AH205"/>
  <c r="AH206"/>
  <c r="AH207"/>
  <c r="AH208"/>
  <c r="AH209"/>
  <c r="AH211"/>
  <c r="AH215"/>
  <c r="AH216"/>
  <c r="AH218"/>
  <c r="AH219"/>
  <c r="AH220"/>
  <c r="AH222"/>
  <c r="AH224"/>
  <c r="AH225"/>
  <c r="AH226"/>
  <c r="AH227"/>
  <c r="AH228"/>
  <c r="AH229"/>
  <c r="AH230"/>
  <c r="AH231"/>
  <c r="AH233"/>
  <c r="AH234"/>
  <c r="AH235"/>
  <c r="AH236"/>
  <c r="AH237"/>
  <c r="AH238"/>
  <c r="AH239"/>
  <c r="AH240"/>
  <c r="AH241"/>
  <c r="AH242"/>
  <c r="AH243"/>
  <c r="AH244"/>
  <c r="AH245"/>
  <c r="AH246"/>
  <c r="AH247"/>
  <c r="AH248"/>
  <c r="AH250"/>
  <c r="AH254"/>
  <c r="AH255"/>
  <c r="AH257"/>
  <c r="AH258"/>
  <c r="AH259"/>
  <c r="AH261"/>
  <c r="AH263"/>
  <c r="AH264"/>
  <c r="AH265"/>
  <c r="AH266"/>
  <c r="AH267"/>
  <c r="AH269"/>
  <c r="AH270"/>
  <c r="AH271"/>
  <c r="AH272"/>
  <c r="AH273"/>
  <c r="AH274"/>
  <c r="AH275"/>
  <c r="AH277"/>
  <c r="AH279"/>
  <c r="AH281"/>
  <c r="AH282"/>
  <c r="AH284"/>
  <c r="AH286"/>
  <c r="AH289"/>
  <c r="AH290"/>
  <c r="AH292"/>
  <c r="AH293"/>
  <c r="AH294"/>
  <c r="AH296"/>
  <c r="AH297"/>
  <c r="AH298"/>
  <c r="AH299"/>
  <c r="AH301"/>
  <c r="AH302"/>
  <c r="AH304"/>
  <c r="AH308"/>
  <c r="AH309"/>
  <c r="AH311"/>
  <c r="AH312"/>
  <c r="AH313"/>
  <c r="AH315"/>
  <c r="AH317"/>
  <c r="AH318"/>
  <c r="AH319"/>
  <c r="AH320"/>
  <c r="AH321"/>
  <c r="AH323"/>
  <c r="AH324"/>
  <c r="AH325"/>
  <c r="AH326"/>
  <c r="AH327"/>
  <c r="AH328"/>
  <c r="AH329"/>
  <c r="AH330"/>
  <c r="AH332"/>
  <c r="AH333"/>
  <c r="AH334"/>
  <c r="AH335"/>
  <c r="AH336"/>
  <c r="AH337"/>
  <c r="AH338"/>
  <c r="AH342"/>
  <c r="AH343"/>
  <c r="AH345"/>
  <c r="AH346"/>
  <c r="AH348"/>
  <c r="AH349"/>
  <c r="AH351"/>
  <c r="AH352"/>
  <c r="AH353"/>
  <c r="AH355"/>
  <c r="AH356"/>
  <c r="AH357"/>
  <c r="AH359"/>
  <c r="AH360"/>
  <c r="AH362"/>
  <c r="AH363"/>
  <c r="AH365"/>
  <c r="AH366"/>
  <c r="AH367"/>
  <c r="AH368"/>
  <c r="AH369"/>
  <c r="AH370"/>
  <c r="AH371"/>
  <c r="AH372"/>
  <c r="AH373"/>
  <c r="AH375"/>
  <c r="AH377"/>
  <c r="AH381"/>
  <c r="AH382"/>
  <c r="AH384"/>
  <c r="AH385"/>
  <c r="AH386"/>
  <c r="AH388"/>
  <c r="AH390"/>
  <c r="AH391"/>
  <c r="AH392"/>
  <c r="AH393"/>
  <c r="AH394"/>
  <c r="AH396"/>
  <c r="AH397"/>
  <c r="AH398"/>
  <c r="AH399"/>
  <c r="AH401"/>
  <c r="AH402"/>
  <c r="AH403"/>
  <c r="AH404"/>
  <c r="AH405"/>
  <c r="AH406"/>
  <c r="AH407"/>
  <c r="AH408"/>
  <c r="AH410"/>
  <c r="AH411"/>
  <c r="AH412"/>
  <c r="AH413"/>
  <c r="AH414"/>
  <c r="AH415"/>
  <c r="AH416"/>
  <c r="AH417"/>
  <c r="AH418"/>
  <c r="AH419"/>
  <c r="AH420"/>
  <c r="AH421"/>
  <c r="AH422"/>
  <c r="AH423"/>
  <c r="AH424"/>
  <c r="AH425"/>
  <c r="AH427"/>
  <c r="AH428"/>
  <c r="AH430"/>
  <c r="AH431"/>
  <c r="AH432"/>
  <c r="AH433"/>
  <c r="AH434"/>
  <c r="AH436"/>
  <c r="AH440"/>
  <c r="AH441"/>
  <c r="AH443"/>
  <c r="AH444"/>
  <c r="AH445"/>
  <c r="AH447"/>
  <c r="AH449"/>
  <c r="AH450"/>
  <c r="AH451"/>
  <c r="AH452"/>
  <c r="AH453"/>
  <c r="AH454"/>
  <c r="AH455"/>
  <c r="AH457"/>
  <c r="AH458"/>
  <c r="AH459"/>
  <c r="AH460"/>
  <c r="AH461"/>
  <c r="AH462"/>
  <c r="AH463"/>
  <c r="AH464"/>
  <c r="AH466"/>
  <c r="AH468"/>
  <c r="AH471"/>
  <c r="AH472"/>
  <c r="AH474"/>
  <c r="AH475"/>
  <c r="AH476"/>
  <c r="AH477"/>
  <c r="AH479"/>
  <c r="AH481"/>
  <c r="AH482"/>
  <c r="AH483"/>
  <c r="AH484"/>
  <c r="AH485"/>
  <c r="AH486"/>
  <c r="AH488"/>
  <c r="AH489"/>
  <c r="AH490"/>
  <c r="AH491"/>
  <c r="AH492"/>
  <c r="AH493"/>
  <c r="AH494"/>
  <c r="AH495"/>
  <c r="AH497"/>
  <c r="AH499"/>
  <c r="AH502"/>
  <c r="AH503"/>
  <c r="AH505"/>
  <c r="AH506"/>
  <c r="AH507"/>
  <c r="AH508"/>
  <c r="AH510"/>
  <c r="AH512"/>
  <c r="AH513"/>
  <c r="AH514"/>
  <c r="AH515"/>
  <c r="AH516"/>
  <c r="AH517"/>
  <c r="AH519"/>
  <c r="AH520"/>
  <c r="AH521"/>
  <c r="AH522"/>
  <c r="AH523"/>
  <c r="AH524"/>
  <c r="AH525"/>
  <c r="AH526"/>
  <c r="AH528"/>
  <c r="AH529"/>
  <c r="U185"/>
  <c r="U170" s="1"/>
  <c r="W187"/>
  <c r="W188"/>
  <c r="W189"/>
  <c r="W190"/>
  <c r="W191"/>
  <c r="W192"/>
  <c r="W193"/>
  <c r="W194"/>
  <c r="W186"/>
  <c r="W172"/>
  <c r="W173"/>
  <c r="W174"/>
  <c r="W175"/>
  <c r="W176"/>
  <c r="W177"/>
  <c r="W178"/>
  <c r="W179"/>
  <c r="W180"/>
  <c r="W181"/>
  <c r="W182"/>
  <c r="W183"/>
  <c r="W184"/>
  <c r="W171"/>
  <c r="U202"/>
  <c r="W318"/>
  <c r="W319"/>
  <c r="W320"/>
  <c r="W321"/>
  <c r="W317"/>
  <c r="W324"/>
  <c r="W325"/>
  <c r="W326"/>
  <c r="W327"/>
  <c r="W328"/>
  <c r="W329"/>
  <c r="W330"/>
  <c r="W323"/>
  <c r="AI376"/>
  <c r="AI394"/>
  <c r="AI392"/>
  <c r="AI390"/>
  <c r="AI395"/>
  <c r="AI396"/>
  <c r="AI387"/>
  <c r="AI383"/>
  <c r="AI380"/>
  <c r="AI405"/>
  <c r="AI406"/>
  <c r="AI401"/>
  <c r="W411"/>
  <c r="W412"/>
  <c r="W413"/>
  <c r="W414"/>
  <c r="W415"/>
  <c r="W416"/>
  <c r="W417"/>
  <c r="W418"/>
  <c r="W419"/>
  <c r="W420"/>
  <c r="W421"/>
  <c r="W422"/>
  <c r="W423"/>
  <c r="W424"/>
  <c r="W425"/>
  <c r="W410"/>
  <c r="AI423"/>
  <c r="AI422"/>
  <c r="AI420"/>
  <c r="AI417"/>
  <c r="AI418"/>
  <c r="AI415"/>
  <c r="AI413"/>
  <c r="AI412"/>
  <c r="AI411"/>
  <c r="AI410"/>
  <c r="AI426"/>
  <c r="V429"/>
  <c r="T429"/>
  <c r="AI430"/>
  <c r="T465"/>
  <c r="AI445"/>
  <c r="AI444"/>
  <c r="W458"/>
  <c r="W459"/>
  <c r="W460"/>
  <c r="W461"/>
  <c r="W462"/>
  <c r="W463"/>
  <c r="W464"/>
  <c r="W457"/>
  <c r="AI7"/>
  <c r="AI44"/>
  <c r="AI79"/>
  <c r="AI103"/>
  <c r="AI126"/>
  <c r="AI127"/>
  <c r="AI129"/>
  <c r="AI161"/>
  <c r="AI207"/>
  <c r="AI208"/>
  <c r="AI209"/>
  <c r="AI211"/>
  <c r="AI244"/>
  <c r="AI245"/>
  <c r="AI250"/>
  <c r="AI275"/>
  <c r="AI299"/>
  <c r="AI304"/>
  <c r="AI352"/>
  <c r="AI356"/>
  <c r="AI357"/>
  <c r="AI360"/>
  <c r="AI363"/>
  <c r="AI427"/>
  <c r="AI428"/>
  <c r="AI436"/>
  <c r="AI468"/>
  <c r="AI499"/>
  <c r="W503"/>
  <c r="W502"/>
  <c r="W506"/>
  <c r="W507"/>
  <c r="W508"/>
  <c r="W505"/>
  <c r="W520"/>
  <c r="W521"/>
  <c r="W522"/>
  <c r="W523"/>
  <c r="W524"/>
  <c r="W525"/>
  <c r="W526"/>
  <c r="W519"/>
  <c r="W513"/>
  <c r="W514"/>
  <c r="W515"/>
  <c r="W516"/>
  <c r="W517"/>
  <c r="W512"/>
  <c r="P63" i="9"/>
  <c r="R63" s="1"/>
  <c r="S62"/>
  <c r="S61"/>
  <c r="S53"/>
  <c r="P62"/>
  <c r="R62" s="1"/>
  <c r="P60"/>
  <c r="R60" s="1"/>
  <c r="P61"/>
  <c r="R61" s="1"/>
  <c r="P64"/>
  <c r="R64" s="1"/>
  <c r="P65"/>
  <c r="R65" s="1"/>
  <c r="P66"/>
  <c r="R66" s="1"/>
  <c r="P43"/>
  <c r="R43" s="1"/>
  <c r="L3" i="25"/>
  <c r="L35" i="13"/>
  <c r="L34"/>
  <c r="L33"/>
  <c r="L32" s="1"/>
  <c r="K32"/>
  <c r="K6" s="1"/>
  <c r="I32"/>
  <c r="L28"/>
  <c r="L27"/>
  <c r="L19"/>
  <c r="L18"/>
  <c r="L17"/>
  <c r="L16"/>
  <c r="K15"/>
  <c r="J15"/>
  <c r="J6" s="1"/>
  <c r="I15"/>
  <c r="I6" s="1"/>
  <c r="L13"/>
  <c r="L12"/>
  <c r="L11"/>
  <c r="L10"/>
  <c r="L9"/>
  <c r="L8"/>
  <c r="G32"/>
  <c r="Q36"/>
  <c r="O6"/>
  <c r="P55" i="14"/>
  <c r="P56"/>
  <c r="P57"/>
  <c r="P46"/>
  <c r="P47"/>
  <c r="P48"/>
  <c r="P49"/>
  <c r="P45"/>
  <c r="M51"/>
  <c r="M6" s="1"/>
  <c r="P53"/>
  <c r="P51" s="1"/>
  <c r="P54"/>
  <c r="P28"/>
  <c r="P29"/>
  <c r="P31"/>
  <c r="P35"/>
  <c r="P36"/>
  <c r="P38"/>
  <c r="P39"/>
  <c r="P40"/>
  <c r="P41"/>
  <c r="P42"/>
  <c r="P43"/>
  <c r="P44"/>
  <c r="L11" i="26"/>
  <c r="L10"/>
  <c r="L9"/>
  <c r="L8"/>
  <c r="L7"/>
  <c r="K6"/>
  <c r="I6"/>
  <c r="I29" i="15"/>
  <c r="I28"/>
  <c r="I27"/>
  <c r="I26"/>
  <c r="I25"/>
  <c r="I24"/>
  <c r="I23"/>
  <c r="I22"/>
  <c r="I17"/>
  <c r="I16"/>
  <c r="I15"/>
  <c r="I14"/>
  <c r="I13"/>
  <c r="I12"/>
  <c r="I11"/>
  <c r="I10"/>
  <c r="I9"/>
  <c r="I8"/>
  <c r="I7"/>
  <c r="H6"/>
  <c r="H5" s="1"/>
  <c r="G6"/>
  <c r="G5" s="1"/>
  <c r="P6" i="14" l="1"/>
  <c r="Y409" i="4" s="1"/>
  <c r="L7" i="13"/>
  <c r="AC517" i="4"/>
  <c r="AC513"/>
  <c r="AC524"/>
  <c r="AC520"/>
  <c r="AC506"/>
  <c r="AC464"/>
  <c r="AC460"/>
  <c r="AC410"/>
  <c r="AC422"/>
  <c r="AC418"/>
  <c r="AC414"/>
  <c r="AC323"/>
  <c r="AC327"/>
  <c r="AC317"/>
  <c r="AC318"/>
  <c r="AC183"/>
  <c r="AC179"/>
  <c r="AC175"/>
  <c r="AC186"/>
  <c r="AC191"/>
  <c r="AC187"/>
  <c r="AC516"/>
  <c r="AC519"/>
  <c r="AC523"/>
  <c r="AC505"/>
  <c r="AC502"/>
  <c r="AC463"/>
  <c r="AC459"/>
  <c r="AC425"/>
  <c r="AC421"/>
  <c r="AC417"/>
  <c r="AC413"/>
  <c r="AC330"/>
  <c r="AC326"/>
  <c r="AC321"/>
  <c r="AC182"/>
  <c r="AC178"/>
  <c r="AC174"/>
  <c r="AC194"/>
  <c r="AC190"/>
  <c r="AC515"/>
  <c r="AC526"/>
  <c r="AC522"/>
  <c r="AC508"/>
  <c r="AC503"/>
  <c r="AC462"/>
  <c r="AC458"/>
  <c r="AC424"/>
  <c r="AC420"/>
  <c r="AC416"/>
  <c r="AC412"/>
  <c r="AC329"/>
  <c r="AC325"/>
  <c r="AC320"/>
  <c r="AC171"/>
  <c r="AC181"/>
  <c r="AC177"/>
  <c r="AC173"/>
  <c r="AC193"/>
  <c r="AC189"/>
  <c r="AC512"/>
  <c r="AC514"/>
  <c r="AC525"/>
  <c r="AC521"/>
  <c r="AC507"/>
  <c r="AC457"/>
  <c r="AC461"/>
  <c r="AC423"/>
  <c r="AC419"/>
  <c r="AC415"/>
  <c r="AC411"/>
  <c r="AC328"/>
  <c r="AC324"/>
  <c r="AC319"/>
  <c r="AC184"/>
  <c r="AC180"/>
  <c r="AC176"/>
  <c r="AC172"/>
  <c r="AC192"/>
  <c r="AC188"/>
  <c r="T44" i="14"/>
  <c r="V44"/>
  <c r="S44"/>
  <c r="T40"/>
  <c r="V40"/>
  <c r="S40"/>
  <c r="T36"/>
  <c r="V36"/>
  <c r="S36"/>
  <c r="T32"/>
  <c r="V32"/>
  <c r="S32"/>
  <c r="T28"/>
  <c r="V28"/>
  <c r="S28"/>
  <c r="T24"/>
  <c r="V24"/>
  <c r="S24"/>
  <c r="T52"/>
  <c r="V52"/>
  <c r="S52"/>
  <c r="T45"/>
  <c r="V45"/>
  <c r="S45"/>
  <c r="T47"/>
  <c r="V47"/>
  <c r="S47"/>
  <c r="T55"/>
  <c r="V55"/>
  <c r="S55"/>
  <c r="T41"/>
  <c r="V41"/>
  <c r="S41"/>
  <c r="T37"/>
  <c r="V37"/>
  <c r="S37"/>
  <c r="T29"/>
  <c r="V29"/>
  <c r="S29"/>
  <c r="T20"/>
  <c r="V20"/>
  <c r="S20"/>
  <c r="T56"/>
  <c r="V56"/>
  <c r="S56"/>
  <c r="T43"/>
  <c r="V43"/>
  <c r="S43"/>
  <c r="T39"/>
  <c r="V39"/>
  <c r="S39"/>
  <c r="T35"/>
  <c r="V35"/>
  <c r="S35"/>
  <c r="T31"/>
  <c r="V31"/>
  <c r="S31"/>
  <c r="T27"/>
  <c r="V27"/>
  <c r="S27"/>
  <c r="T54"/>
  <c r="V54"/>
  <c r="S54"/>
  <c r="T46"/>
  <c r="V46"/>
  <c r="S46"/>
  <c r="T33"/>
  <c r="V33"/>
  <c r="S33"/>
  <c r="T25"/>
  <c r="V25"/>
  <c r="S25"/>
  <c r="T48"/>
  <c r="V48"/>
  <c r="S48"/>
  <c r="T42"/>
  <c r="V42"/>
  <c r="S42"/>
  <c r="T38"/>
  <c r="V38"/>
  <c r="S38"/>
  <c r="T34"/>
  <c r="V34"/>
  <c r="S34"/>
  <c r="T30"/>
  <c r="V30"/>
  <c r="S30"/>
  <c r="T26"/>
  <c r="V26"/>
  <c r="S26"/>
  <c r="T53"/>
  <c r="V53"/>
  <c r="S53"/>
  <c r="T49"/>
  <c r="V49"/>
  <c r="S49"/>
  <c r="T57"/>
  <c r="V57"/>
  <c r="S57"/>
  <c r="T34" i="13"/>
  <c r="T22" i="14"/>
  <c r="V22"/>
  <c r="S22"/>
  <c r="N6"/>
  <c r="T21"/>
  <c r="V21"/>
  <c r="S21"/>
  <c r="AE526" i="4"/>
  <c r="AE420"/>
  <c r="AE416"/>
  <c r="AE325"/>
  <c r="AE320"/>
  <c r="AE177"/>
  <c r="AE189"/>
  <c r="AE512"/>
  <c r="AE514"/>
  <c r="AE525"/>
  <c r="AE521"/>
  <c r="AE507"/>
  <c r="AE457"/>
  <c r="AE461"/>
  <c r="AE423"/>
  <c r="AE419"/>
  <c r="AE415"/>
  <c r="AE411"/>
  <c r="AE328"/>
  <c r="AE324"/>
  <c r="AE319"/>
  <c r="AE184"/>
  <c r="AE180"/>
  <c r="AE176"/>
  <c r="AE172"/>
  <c r="AE192"/>
  <c r="AE188"/>
  <c r="AE515"/>
  <c r="AE508"/>
  <c r="AE329"/>
  <c r="AE181"/>
  <c r="AE193"/>
  <c r="AE517"/>
  <c r="AE513"/>
  <c r="AE524"/>
  <c r="AE520"/>
  <c r="AE506"/>
  <c r="AE464"/>
  <c r="AE460"/>
  <c r="AE410"/>
  <c r="AE422"/>
  <c r="AE418"/>
  <c r="AE414"/>
  <c r="AE323"/>
  <c r="AE327"/>
  <c r="AE317"/>
  <c r="AE318"/>
  <c r="AE183"/>
  <c r="AE179"/>
  <c r="AE175"/>
  <c r="AE186"/>
  <c r="AE191"/>
  <c r="AE187"/>
  <c r="AE522"/>
  <c r="AE462"/>
  <c r="AE458"/>
  <c r="AE424"/>
  <c r="AE412"/>
  <c r="AE171"/>
  <c r="AE173"/>
  <c r="AE516"/>
  <c r="AE519"/>
  <c r="AE523"/>
  <c r="AE505"/>
  <c r="AE463"/>
  <c r="AE459"/>
  <c r="AE425"/>
  <c r="AE421"/>
  <c r="AE417"/>
  <c r="AE413"/>
  <c r="AE330"/>
  <c r="AE326"/>
  <c r="AE321"/>
  <c r="AE182"/>
  <c r="AE178"/>
  <c r="AE174"/>
  <c r="AE194"/>
  <c r="AE190"/>
  <c r="T35" i="13"/>
  <c r="T37"/>
  <c r="T33"/>
  <c r="T36"/>
  <c r="AD502" i="4"/>
  <c r="AE502"/>
  <c r="AD503"/>
  <c r="AE503"/>
  <c r="AI512"/>
  <c r="AI525"/>
  <c r="AJ457"/>
  <c r="AI461"/>
  <c r="AJ425"/>
  <c r="AJ421"/>
  <c r="AJ417"/>
  <c r="AJ413"/>
  <c r="AJ330"/>
  <c r="AJ326"/>
  <c r="AJ321"/>
  <c r="AJ182"/>
  <c r="AJ178"/>
  <c r="AJ174"/>
  <c r="AJ190"/>
  <c r="AJ175"/>
  <c r="AI517"/>
  <c r="AI520"/>
  <c r="AI464"/>
  <c r="AJ424"/>
  <c r="AJ420"/>
  <c r="AJ416"/>
  <c r="AJ412"/>
  <c r="AJ329"/>
  <c r="AJ320"/>
  <c r="AJ171"/>
  <c r="AJ181"/>
  <c r="AJ177"/>
  <c r="AJ173"/>
  <c r="AJ193"/>
  <c r="AJ410"/>
  <c r="AJ418"/>
  <c r="AI516"/>
  <c r="AJ415"/>
  <c r="AJ328"/>
  <c r="AJ324"/>
  <c r="AJ188"/>
  <c r="I6" i="15"/>
  <c r="I5" s="1"/>
  <c r="AI457" i="4"/>
  <c r="AI425"/>
  <c r="AI424"/>
  <c r="AI524"/>
  <c r="AJ524"/>
  <c r="AJ525"/>
  <c r="AJ512"/>
  <c r="AI519"/>
  <c r="AJ519"/>
  <c r="AI523"/>
  <c r="AJ523"/>
  <c r="AI505"/>
  <c r="AJ505"/>
  <c r="AI462"/>
  <c r="AJ462"/>
  <c r="AI414"/>
  <c r="AJ414"/>
  <c r="AJ323"/>
  <c r="AJ183"/>
  <c r="AJ179"/>
  <c r="AJ186"/>
  <c r="AJ515"/>
  <c r="AI515"/>
  <c r="AI526"/>
  <c r="AJ526"/>
  <c r="AI522"/>
  <c r="AJ522"/>
  <c r="AI508"/>
  <c r="AJ508"/>
  <c r="AI503"/>
  <c r="AJ503"/>
  <c r="X503"/>
  <c r="AI502"/>
  <c r="AJ502"/>
  <c r="X502"/>
  <c r="AI458"/>
  <c r="AJ458"/>
  <c r="AJ422"/>
  <c r="AJ327"/>
  <c r="AJ318"/>
  <c r="AJ191"/>
  <c r="AJ317"/>
  <c r="P437"/>
  <c r="AJ516"/>
  <c r="AJ187"/>
  <c r="AI463"/>
  <c r="AJ463"/>
  <c r="AI459"/>
  <c r="AJ459"/>
  <c r="AJ423"/>
  <c r="AJ419"/>
  <c r="AJ411"/>
  <c r="AJ319"/>
  <c r="AJ184"/>
  <c r="AJ180"/>
  <c r="AJ176"/>
  <c r="AJ172"/>
  <c r="AJ192"/>
  <c r="AI514"/>
  <c r="AJ514"/>
  <c r="AI521"/>
  <c r="AJ521"/>
  <c r="AI507"/>
  <c r="AJ507"/>
  <c r="AJ194"/>
  <c r="AJ520"/>
  <c r="AJ464"/>
  <c r="AJ325"/>
  <c r="AI513"/>
  <c r="AJ513"/>
  <c r="AI506"/>
  <c r="AJ506"/>
  <c r="AI460"/>
  <c r="AJ460"/>
  <c r="AJ189"/>
  <c r="AJ517"/>
  <c r="AJ461"/>
  <c r="U169"/>
  <c r="L15" i="13"/>
  <c r="P58" i="9"/>
  <c r="L6" i="26"/>
  <c r="V12" i="41"/>
  <c r="L46" i="10"/>
  <c r="I46"/>
  <c r="L43"/>
  <c r="I43"/>
  <c r="L38"/>
  <c r="I38"/>
  <c r="L31"/>
  <c r="I31"/>
  <c r="L7"/>
  <c r="I7"/>
  <c r="K6"/>
  <c r="J6"/>
  <c r="L67" i="9"/>
  <c r="I67"/>
  <c r="L58"/>
  <c r="I58"/>
  <c r="L53"/>
  <c r="I53"/>
  <c r="L18"/>
  <c r="L17" s="1"/>
  <c r="I18"/>
  <c r="I17" s="1"/>
  <c r="L8"/>
  <c r="L7" s="1"/>
  <c r="I8"/>
  <c r="I7" s="1"/>
  <c r="L36" i="7"/>
  <c r="I36"/>
  <c r="L19"/>
  <c r="I19"/>
  <c r="L16"/>
  <c r="L11"/>
  <c r="L7" s="1"/>
  <c r="K7"/>
  <c r="K6" s="1"/>
  <c r="I7"/>
  <c r="U409" i="4"/>
  <c r="V409"/>
  <c r="T409"/>
  <c r="T400"/>
  <c r="T307"/>
  <c r="V307"/>
  <c r="U307"/>
  <c r="W367"/>
  <c r="W368"/>
  <c r="W369"/>
  <c r="W370"/>
  <c r="W371"/>
  <c r="W372"/>
  <c r="W373"/>
  <c r="W366"/>
  <c r="W332"/>
  <c r="U331"/>
  <c r="V331"/>
  <c r="T331"/>
  <c r="S375"/>
  <c r="S374" s="1"/>
  <c r="AK304"/>
  <c r="AK352"/>
  <c r="AK356"/>
  <c r="AK357"/>
  <c r="AK360"/>
  <c r="AK363"/>
  <c r="T322"/>
  <c r="AK250"/>
  <c r="AK275"/>
  <c r="AK299"/>
  <c r="W218"/>
  <c r="W204"/>
  <c r="W205"/>
  <c r="W206"/>
  <c r="W203"/>
  <c r="AI187"/>
  <c r="AI188"/>
  <c r="AI189"/>
  <c r="AI190"/>
  <c r="AI191"/>
  <c r="AI186"/>
  <c r="AI172"/>
  <c r="AI173"/>
  <c r="AI174"/>
  <c r="AI175"/>
  <c r="AI176"/>
  <c r="AI177"/>
  <c r="AI178"/>
  <c r="AI179"/>
  <c r="AI180"/>
  <c r="AI181"/>
  <c r="AI182"/>
  <c r="AI183"/>
  <c r="AI184"/>
  <c r="AI171"/>
  <c r="T135"/>
  <c r="W87"/>
  <c r="W88"/>
  <c r="W86"/>
  <c r="W99"/>
  <c r="T96"/>
  <c r="AC203" l="1"/>
  <c r="Y97"/>
  <c r="AC87"/>
  <c r="AC205"/>
  <c r="AC372"/>
  <c r="AC368"/>
  <c r="AC204"/>
  <c r="AC332"/>
  <c r="AC371"/>
  <c r="AC367"/>
  <c r="R58" i="9"/>
  <c r="P6"/>
  <c r="R6" s="1"/>
  <c r="AC86" i="4"/>
  <c r="AC218"/>
  <c r="AC366"/>
  <c r="AC370"/>
  <c r="L6" i="13"/>
  <c r="AC99" i="4"/>
  <c r="AC88"/>
  <c r="AC206"/>
  <c r="AC373"/>
  <c r="AC369"/>
  <c r="T7" i="14"/>
  <c r="S6"/>
  <c r="AE206" i="4"/>
  <c r="AE370"/>
  <c r="AE87"/>
  <c r="AE205"/>
  <c r="AE373"/>
  <c r="AE369"/>
  <c r="AE218"/>
  <c r="AE372"/>
  <c r="L6" i="10"/>
  <c r="AE88" i="4"/>
  <c r="AE204"/>
  <c r="AE368"/>
  <c r="AE86"/>
  <c r="AE203"/>
  <c r="AE332"/>
  <c r="AE371"/>
  <c r="AE367"/>
  <c r="AE366"/>
  <c r="AK368"/>
  <c r="AD99"/>
  <c r="AE99"/>
  <c r="AK367"/>
  <c r="L6" i="7"/>
  <c r="I6"/>
  <c r="L6" i="9"/>
  <c r="I6"/>
  <c r="AI87" i="4"/>
  <c r="AJ87"/>
  <c r="AI332"/>
  <c r="AJ332"/>
  <c r="AI99"/>
  <c r="AJ99"/>
  <c r="AI204"/>
  <c r="AJ204"/>
  <c r="AJ366"/>
  <c r="AJ370"/>
  <c r="AI205"/>
  <c r="AJ205"/>
  <c r="AI371"/>
  <c r="AJ371"/>
  <c r="AI367"/>
  <c r="AJ367"/>
  <c r="AI86"/>
  <c r="AJ86"/>
  <c r="AI203"/>
  <c r="AJ203"/>
  <c r="AJ373"/>
  <c r="AJ369"/>
  <c r="AI88"/>
  <c r="AJ88"/>
  <c r="AI206"/>
  <c r="AJ206"/>
  <c r="AJ218"/>
  <c r="AI372"/>
  <c r="AJ372"/>
  <c r="AI368"/>
  <c r="AJ368"/>
  <c r="AK372"/>
  <c r="AK332"/>
  <c r="I6" i="10"/>
  <c r="AK366" i="4"/>
  <c r="AI366"/>
  <c r="AK370"/>
  <c r="AI370"/>
  <c r="W85"/>
  <c r="AI218"/>
  <c r="AK371"/>
  <c r="AK373"/>
  <c r="AI373"/>
  <c r="AK369"/>
  <c r="AI369"/>
  <c r="AC85" l="1"/>
  <c r="AE85"/>
  <c r="AJ85"/>
  <c r="AI85"/>
  <c r="AL304"/>
  <c r="AL317"/>
  <c r="AL318"/>
  <c r="AL352"/>
  <c r="AL356"/>
  <c r="AL357"/>
  <c r="AL360"/>
  <c r="AL363"/>
  <c r="AL366"/>
  <c r="AL367"/>
  <c r="AL368"/>
  <c r="AL369"/>
  <c r="AL370"/>
  <c r="AL371"/>
  <c r="AL372"/>
  <c r="AL373"/>
  <c r="AQ381"/>
  <c r="AL321" l="1"/>
  <c r="AI321"/>
  <c r="AK321"/>
  <c r="AL320"/>
  <c r="AI320"/>
  <c r="AK320"/>
  <c r="AI319"/>
  <c r="AK319"/>
  <c r="AL319"/>
  <c r="AI317"/>
  <c r="AK317"/>
  <c r="AI318"/>
  <c r="AK318"/>
  <c r="W375"/>
  <c r="T374"/>
  <c r="AC375" l="1"/>
  <c r="AE375"/>
  <c r="AJ375"/>
  <c r="AI375"/>
  <c r="AK375"/>
  <c r="W374"/>
  <c r="AE374" s="1"/>
  <c r="AL375"/>
  <c r="AC374" l="1"/>
  <c r="AL374"/>
  <c r="AJ374"/>
  <c r="AK374"/>
  <c r="AI374"/>
  <c r="S275"/>
  <c r="L51" i="14" l="1"/>
  <c r="I51"/>
  <c r="L19"/>
  <c r="J19"/>
  <c r="J6" s="1"/>
  <c r="I19"/>
  <c r="L7"/>
  <c r="I7"/>
  <c r="T51" l="1"/>
  <c r="V51"/>
  <c r="S51"/>
  <c r="T15" i="13"/>
  <c r="T7"/>
  <c r="T32"/>
  <c r="I6" i="14"/>
  <c r="L6" s="1"/>
  <c r="S19" l="1"/>
  <c r="T19"/>
  <c r="T6" i="13"/>
  <c r="Q48" i="10"/>
  <c r="Q14" i="9"/>
  <c r="Q15"/>
  <c r="Q16"/>
  <c r="Q61"/>
  <c r="T509" i="4"/>
  <c r="T504"/>
  <c r="AQ470"/>
  <c r="AQ413"/>
  <c r="AQ414" s="1"/>
  <c r="AQ325"/>
  <c r="AQ314"/>
  <c r="AQ173"/>
  <c r="AQ172"/>
  <c r="AQ170"/>
  <c r="AQ196"/>
  <c r="AQ169"/>
  <c r="AU133"/>
  <c r="AI192"/>
  <c r="AI193"/>
  <c r="AI194"/>
  <c r="W73"/>
  <c r="AQ44"/>
  <c r="Y155" i="37"/>
  <c r="I216" i="2" s="1"/>
  <c r="Y144" i="37"/>
  <c r="Y130"/>
  <c r="X102"/>
  <c r="W102"/>
  <c r="X76"/>
  <c r="X29"/>
  <c r="AC73" i="4" l="1"/>
  <c r="V6" i="14"/>
  <c r="AE73" i="4"/>
  <c r="AI73"/>
  <c r="AJ73"/>
  <c r="T316"/>
  <c r="AQ174"/>
  <c r="AQ171"/>
  <c r="W401"/>
  <c r="AQ426"/>
  <c r="W431"/>
  <c r="W432"/>
  <c r="W433"/>
  <c r="W434"/>
  <c r="W430"/>
  <c r="W528"/>
  <c r="V501"/>
  <c r="U501"/>
  <c r="T501"/>
  <c r="R501"/>
  <c r="Q501"/>
  <c r="P501"/>
  <c r="V504"/>
  <c r="U504"/>
  <c r="R504"/>
  <c r="Q504"/>
  <c r="P504"/>
  <c r="V509"/>
  <c r="U509"/>
  <c r="R509"/>
  <c r="Q509"/>
  <c r="T518"/>
  <c r="V518"/>
  <c r="V511" s="1"/>
  <c r="U518"/>
  <c r="R518"/>
  <c r="R511" s="1"/>
  <c r="Q518"/>
  <c r="Q511" s="1"/>
  <c r="V527"/>
  <c r="U527"/>
  <c r="T527"/>
  <c r="R527"/>
  <c r="Q527"/>
  <c r="O466"/>
  <c r="O471"/>
  <c r="O472"/>
  <c r="S466"/>
  <c r="S471"/>
  <c r="S472"/>
  <c r="W466"/>
  <c r="W471"/>
  <c r="W472"/>
  <c r="S464"/>
  <c r="S463"/>
  <c r="S462"/>
  <c r="S461"/>
  <c r="S460"/>
  <c r="S459"/>
  <c r="S458"/>
  <c r="S457"/>
  <c r="W449"/>
  <c r="W447"/>
  <c r="W443"/>
  <c r="W441"/>
  <c r="W440"/>
  <c r="AI421"/>
  <c r="AI416"/>
  <c r="S424"/>
  <c r="S423"/>
  <c r="S422"/>
  <c r="S421"/>
  <c r="S420"/>
  <c r="S419"/>
  <c r="S418"/>
  <c r="S417"/>
  <c r="S416"/>
  <c r="S415"/>
  <c r="S414"/>
  <c r="S413"/>
  <c r="S412"/>
  <c r="W408"/>
  <c r="W407"/>
  <c r="W406"/>
  <c r="W405"/>
  <c r="W404"/>
  <c r="W403"/>
  <c r="W402"/>
  <c r="S408"/>
  <c r="S407"/>
  <c r="S406"/>
  <c r="S405"/>
  <c r="S404"/>
  <c r="S403"/>
  <c r="S402"/>
  <c r="S401"/>
  <c r="W399"/>
  <c r="W398"/>
  <c r="W397"/>
  <c r="W396"/>
  <c r="W394"/>
  <c r="W393"/>
  <c r="W392"/>
  <c r="W391"/>
  <c r="W390"/>
  <c r="S399"/>
  <c r="S398"/>
  <c r="S397"/>
  <c r="S396"/>
  <c r="S394"/>
  <c r="S393"/>
  <c r="S392"/>
  <c r="S391"/>
  <c r="S390"/>
  <c r="S385"/>
  <c r="S386"/>
  <c r="W385"/>
  <c r="W386"/>
  <c r="W382"/>
  <c r="S382"/>
  <c r="W388"/>
  <c r="S388"/>
  <c r="W384"/>
  <c r="S384"/>
  <c r="W381"/>
  <c r="S381"/>
  <c r="O381"/>
  <c r="S318"/>
  <c r="S319"/>
  <c r="S320"/>
  <c r="S321"/>
  <c r="S317"/>
  <c r="O317"/>
  <c r="W315"/>
  <c r="O313"/>
  <c r="W312"/>
  <c r="W313"/>
  <c r="W311"/>
  <c r="W309"/>
  <c r="W308"/>
  <c r="O308"/>
  <c r="T300"/>
  <c r="W302"/>
  <c r="W301"/>
  <c r="S301"/>
  <c r="O301"/>
  <c r="U287"/>
  <c r="W289"/>
  <c r="W290"/>
  <c r="W292"/>
  <c r="W293"/>
  <c r="W294"/>
  <c r="W296"/>
  <c r="W297"/>
  <c r="W298"/>
  <c r="O288"/>
  <c r="W282"/>
  <c r="W284"/>
  <c r="W286"/>
  <c r="W281"/>
  <c r="O282"/>
  <c r="O283"/>
  <c r="O284"/>
  <c r="O285"/>
  <c r="O286"/>
  <c r="O281"/>
  <c r="W279"/>
  <c r="W269"/>
  <c r="W263"/>
  <c r="W261"/>
  <c r="W259"/>
  <c r="W258"/>
  <c r="W257"/>
  <c r="W255"/>
  <c r="W254"/>
  <c r="W270"/>
  <c r="W271"/>
  <c r="W272"/>
  <c r="W273"/>
  <c r="W274"/>
  <c r="W264"/>
  <c r="W265"/>
  <c r="W266"/>
  <c r="W267"/>
  <c r="O266"/>
  <c r="W215"/>
  <c r="W196"/>
  <c r="W197"/>
  <c r="W198"/>
  <c r="W199"/>
  <c r="W200"/>
  <c r="W201"/>
  <c r="W195"/>
  <c r="W185"/>
  <c r="M185"/>
  <c r="W163"/>
  <c r="T162"/>
  <c r="W144"/>
  <c r="W142"/>
  <c r="W136"/>
  <c r="W133"/>
  <c r="S77"/>
  <c r="AC136" l="1"/>
  <c r="AC163"/>
  <c r="AC201"/>
  <c r="AC197"/>
  <c r="AC267"/>
  <c r="AC274"/>
  <c r="AC270"/>
  <c r="AC258"/>
  <c r="AC269"/>
  <c r="AC281"/>
  <c r="AC294"/>
  <c r="AC289"/>
  <c r="AC301"/>
  <c r="AC308"/>
  <c r="AC312"/>
  <c r="AC391"/>
  <c r="AC396"/>
  <c r="W395"/>
  <c r="S400"/>
  <c r="AC402"/>
  <c r="AC406"/>
  <c r="AC443"/>
  <c r="AC471"/>
  <c r="AC433"/>
  <c r="AC401"/>
  <c r="AC142"/>
  <c r="AC200"/>
  <c r="AC196"/>
  <c r="AC266"/>
  <c r="AC273"/>
  <c r="AC254"/>
  <c r="AC259"/>
  <c r="AC279"/>
  <c r="AC286"/>
  <c r="AC298"/>
  <c r="AC293"/>
  <c r="AC302"/>
  <c r="AC309"/>
  <c r="AC384"/>
  <c r="AC382"/>
  <c r="AC392"/>
  <c r="AC397"/>
  <c r="AC403"/>
  <c r="AC407"/>
  <c r="AC447"/>
  <c r="AC466"/>
  <c r="AC528"/>
  <c r="AC432"/>
  <c r="AC144"/>
  <c r="AC199"/>
  <c r="AC215"/>
  <c r="AC265"/>
  <c r="AC272"/>
  <c r="AC255"/>
  <c r="AC261"/>
  <c r="AC284"/>
  <c r="AC297"/>
  <c r="AC292"/>
  <c r="AC311"/>
  <c r="AC315"/>
  <c r="AC386"/>
  <c r="AC393"/>
  <c r="AC398"/>
  <c r="AC404"/>
  <c r="AC408"/>
  <c r="AC440"/>
  <c r="AC449"/>
  <c r="AC430"/>
  <c r="AC431"/>
  <c r="AC133"/>
  <c r="AC195"/>
  <c r="AC198"/>
  <c r="AC264"/>
  <c r="AC271"/>
  <c r="AC257"/>
  <c r="AC263"/>
  <c r="AC282"/>
  <c r="AC296"/>
  <c r="AC290"/>
  <c r="AC313"/>
  <c r="AC381"/>
  <c r="AC388"/>
  <c r="AC385"/>
  <c r="AC390"/>
  <c r="W389"/>
  <c r="AC394"/>
  <c r="AC399"/>
  <c r="AC405"/>
  <c r="AC441"/>
  <c r="AC472"/>
  <c r="AC434"/>
  <c r="AE199"/>
  <c r="AE265"/>
  <c r="AE272"/>
  <c r="AE255"/>
  <c r="AE279"/>
  <c r="AE281"/>
  <c r="AE294"/>
  <c r="AE290"/>
  <c r="AE311"/>
  <c r="AE315"/>
  <c r="AE393"/>
  <c r="AE408"/>
  <c r="AE440"/>
  <c r="AE133"/>
  <c r="AE195"/>
  <c r="AE198"/>
  <c r="AE264"/>
  <c r="AE271"/>
  <c r="AE257"/>
  <c r="AE263"/>
  <c r="AE286"/>
  <c r="AE282"/>
  <c r="AE297"/>
  <c r="AE293"/>
  <c r="AE289"/>
  <c r="AE313"/>
  <c r="AE381"/>
  <c r="AE388"/>
  <c r="AE385"/>
  <c r="AE390"/>
  <c r="AE394"/>
  <c r="AE399"/>
  <c r="AE405"/>
  <c r="AE441"/>
  <c r="AE472"/>
  <c r="AE434"/>
  <c r="AE136"/>
  <c r="AE267"/>
  <c r="AE258"/>
  <c r="AE396"/>
  <c r="AE402"/>
  <c r="AE443"/>
  <c r="AE433"/>
  <c r="AE401"/>
  <c r="AE163"/>
  <c r="AE201"/>
  <c r="AE197"/>
  <c r="AE274"/>
  <c r="AE270"/>
  <c r="AE269"/>
  <c r="AE296"/>
  <c r="AE292"/>
  <c r="AE308"/>
  <c r="AE312"/>
  <c r="AE391"/>
  <c r="AE406"/>
  <c r="AE142"/>
  <c r="AE200"/>
  <c r="AE196"/>
  <c r="AE266"/>
  <c r="AE273"/>
  <c r="AE254"/>
  <c r="AE259"/>
  <c r="AE284"/>
  <c r="AE302"/>
  <c r="AE309"/>
  <c r="AE384"/>
  <c r="AE382"/>
  <c r="AE392"/>
  <c r="AE397"/>
  <c r="AE403"/>
  <c r="AE407"/>
  <c r="AE447"/>
  <c r="AE466"/>
  <c r="AE528"/>
  <c r="AE432"/>
  <c r="AE144"/>
  <c r="AE215"/>
  <c r="AE261"/>
  <c r="AE298"/>
  <c r="AE386"/>
  <c r="AE398"/>
  <c r="AE404"/>
  <c r="AE449"/>
  <c r="AE430"/>
  <c r="AE431"/>
  <c r="AD301"/>
  <c r="AE301"/>
  <c r="AD471"/>
  <c r="AE471"/>
  <c r="AD466"/>
  <c r="AD308"/>
  <c r="AJ433"/>
  <c r="AD313"/>
  <c r="X317"/>
  <c r="AD317"/>
  <c r="AD381"/>
  <c r="AD472"/>
  <c r="AI144"/>
  <c r="AJ144"/>
  <c r="AJ265"/>
  <c r="AJ290"/>
  <c r="AJ282"/>
  <c r="X282"/>
  <c r="X381"/>
  <c r="AJ381"/>
  <c r="AI388"/>
  <c r="AJ388"/>
  <c r="AJ385"/>
  <c r="AL390"/>
  <c r="AJ390"/>
  <c r="AJ394"/>
  <c r="AI399"/>
  <c r="AJ399"/>
  <c r="AJ405"/>
  <c r="AI441"/>
  <c r="AJ441"/>
  <c r="AI472"/>
  <c r="AJ472"/>
  <c r="X472"/>
  <c r="AI434"/>
  <c r="AJ434"/>
  <c r="AI199"/>
  <c r="AJ199"/>
  <c r="AJ272"/>
  <c r="AJ261"/>
  <c r="AJ281"/>
  <c r="X281"/>
  <c r="AJ298"/>
  <c r="AJ311"/>
  <c r="AJ386"/>
  <c r="AI408"/>
  <c r="AJ408"/>
  <c r="AI449"/>
  <c r="AJ449"/>
  <c r="AI431"/>
  <c r="AJ431"/>
  <c r="AI133"/>
  <c r="AJ133"/>
  <c r="AI165"/>
  <c r="AJ165"/>
  <c r="AI198"/>
  <c r="AJ198"/>
  <c r="AJ271"/>
  <c r="AJ286"/>
  <c r="X286"/>
  <c r="AJ293"/>
  <c r="AJ289"/>
  <c r="AJ313"/>
  <c r="X313"/>
  <c r="AI136"/>
  <c r="AJ136"/>
  <c r="AI168"/>
  <c r="AJ168"/>
  <c r="AJ163"/>
  <c r="AI201"/>
  <c r="AJ201"/>
  <c r="AI197"/>
  <c r="AJ197"/>
  <c r="AJ267"/>
  <c r="AJ274"/>
  <c r="AJ270"/>
  <c r="AJ258"/>
  <c r="AJ269"/>
  <c r="AJ296"/>
  <c r="AJ292"/>
  <c r="AJ301"/>
  <c r="X301"/>
  <c r="AJ308"/>
  <c r="X308"/>
  <c r="AJ312"/>
  <c r="AJ391"/>
  <c r="AJ396"/>
  <c r="AJ402"/>
  <c r="AJ406"/>
  <c r="AI443"/>
  <c r="AJ443"/>
  <c r="AI471"/>
  <c r="AJ471"/>
  <c r="X471"/>
  <c r="AJ401"/>
  <c r="AI166"/>
  <c r="AJ166"/>
  <c r="AI215"/>
  <c r="AJ215"/>
  <c r="AJ255"/>
  <c r="AJ279"/>
  <c r="AJ294"/>
  <c r="AJ315"/>
  <c r="AI393"/>
  <c r="AJ393"/>
  <c r="AI398"/>
  <c r="AJ398"/>
  <c r="AI404"/>
  <c r="AJ404"/>
  <c r="AI440"/>
  <c r="AJ440"/>
  <c r="AJ430"/>
  <c r="AI195"/>
  <c r="AJ195"/>
  <c r="AJ264"/>
  <c r="AJ257"/>
  <c r="AJ263"/>
  <c r="AJ297"/>
  <c r="AJ142"/>
  <c r="AI167"/>
  <c r="AJ167"/>
  <c r="AI200"/>
  <c r="AJ200"/>
  <c r="AJ196"/>
  <c r="AJ266"/>
  <c r="X266"/>
  <c r="AJ273"/>
  <c r="AJ254"/>
  <c r="AJ259"/>
  <c r="AJ284"/>
  <c r="X284"/>
  <c r="AJ302"/>
  <c r="AJ309"/>
  <c r="AJ384"/>
  <c r="AJ382"/>
  <c r="AL392"/>
  <c r="AJ392"/>
  <c r="AI397"/>
  <c r="AJ397"/>
  <c r="AI403"/>
  <c r="AJ403"/>
  <c r="AI407"/>
  <c r="AJ407"/>
  <c r="AJ447"/>
  <c r="AJ466"/>
  <c r="X466"/>
  <c r="T511"/>
  <c r="AI528"/>
  <c r="AJ528"/>
  <c r="AI432"/>
  <c r="AJ432"/>
  <c r="W170"/>
  <c r="AI163"/>
  <c r="W162"/>
  <c r="AC162" s="1"/>
  <c r="AI142"/>
  <c r="W141"/>
  <c r="AI196"/>
  <c r="AI271"/>
  <c r="AK271"/>
  <c r="AI282"/>
  <c r="AK282"/>
  <c r="AI293"/>
  <c r="AK293"/>
  <c r="AI289"/>
  <c r="AK289"/>
  <c r="AL313"/>
  <c r="AI313"/>
  <c r="AK313"/>
  <c r="AI267"/>
  <c r="AK267"/>
  <c r="AI274"/>
  <c r="AK274"/>
  <c r="AI270"/>
  <c r="AK270"/>
  <c r="AI258"/>
  <c r="AK258"/>
  <c r="AI269"/>
  <c r="AK269"/>
  <c r="AI296"/>
  <c r="AK296"/>
  <c r="AI292"/>
  <c r="AK292"/>
  <c r="AI301"/>
  <c r="AK301"/>
  <c r="AL308"/>
  <c r="AI308"/>
  <c r="AK308"/>
  <c r="W307"/>
  <c r="AL312"/>
  <c r="AI312"/>
  <c r="AK312"/>
  <c r="AL328"/>
  <c r="AI328"/>
  <c r="AK328"/>
  <c r="AL324"/>
  <c r="AI324"/>
  <c r="AK324"/>
  <c r="AL391"/>
  <c r="AI391"/>
  <c r="AL325"/>
  <c r="AI325"/>
  <c r="AK325"/>
  <c r="AI266"/>
  <c r="AK266"/>
  <c r="AI273"/>
  <c r="AK273"/>
  <c r="AI254"/>
  <c r="AK254"/>
  <c r="AI259"/>
  <c r="AK259"/>
  <c r="AI284"/>
  <c r="AK284"/>
  <c r="AI302"/>
  <c r="AK302"/>
  <c r="AL309"/>
  <c r="AI309"/>
  <c r="AK309"/>
  <c r="AL323"/>
  <c r="AI323"/>
  <c r="W322"/>
  <c r="AK323"/>
  <c r="AL327"/>
  <c r="AI327"/>
  <c r="AK327"/>
  <c r="AL384"/>
  <c r="AI384"/>
  <c r="AL382"/>
  <c r="AI382"/>
  <c r="AQ446"/>
  <c r="AI447"/>
  <c r="AI264"/>
  <c r="AK264"/>
  <c r="AI257"/>
  <c r="AK257"/>
  <c r="AI263"/>
  <c r="AK263"/>
  <c r="AI286"/>
  <c r="AK286"/>
  <c r="AI297"/>
  <c r="AK297"/>
  <c r="AL329"/>
  <c r="AI329"/>
  <c r="AK329"/>
  <c r="AL381"/>
  <c r="AI381"/>
  <c r="AL385"/>
  <c r="AI385"/>
  <c r="AI265"/>
  <c r="AK265"/>
  <c r="AI272"/>
  <c r="AK272"/>
  <c r="AI255"/>
  <c r="AK255"/>
  <c r="AI261"/>
  <c r="AK261"/>
  <c r="AI279"/>
  <c r="AK279"/>
  <c r="AI281"/>
  <c r="AK281"/>
  <c r="AI298"/>
  <c r="AK298"/>
  <c r="AI294"/>
  <c r="AK294"/>
  <c r="AI290"/>
  <c r="AK290"/>
  <c r="AL311"/>
  <c r="AI311"/>
  <c r="AK311"/>
  <c r="AL315"/>
  <c r="AI315"/>
  <c r="AK315"/>
  <c r="AL330"/>
  <c r="AI330"/>
  <c r="AK330"/>
  <c r="AL326"/>
  <c r="AI326"/>
  <c r="AK326"/>
  <c r="AL386"/>
  <c r="AI386"/>
  <c r="U511"/>
  <c r="AI402"/>
  <c r="W400"/>
  <c r="AI433"/>
  <c r="W429"/>
  <c r="AQ465"/>
  <c r="AI466"/>
  <c r="W409"/>
  <c r="W518"/>
  <c r="AR518" s="1"/>
  <c r="AQ387"/>
  <c r="AL388"/>
  <c r="S470"/>
  <c r="W300"/>
  <c r="AC300" s="1"/>
  <c r="R500"/>
  <c r="R498" s="1"/>
  <c r="V500"/>
  <c r="V498" s="1"/>
  <c r="Q500"/>
  <c r="Q498" s="1"/>
  <c r="P500"/>
  <c r="P498" s="1"/>
  <c r="O470"/>
  <c r="U500"/>
  <c r="AQ429"/>
  <c r="AI162"/>
  <c r="AQ400"/>
  <c r="AQ456"/>
  <c r="W470"/>
  <c r="AQ439"/>
  <c r="AQ409"/>
  <c r="AQ383"/>
  <c r="AQ380"/>
  <c r="AQ518"/>
  <c r="S395"/>
  <c r="T500"/>
  <c r="AQ395"/>
  <c r="Q37" i="7"/>
  <c r="Q38"/>
  <c r="Q39"/>
  <c r="V253" i="4"/>
  <c r="V252" s="1"/>
  <c r="V251" s="1"/>
  <c r="U253"/>
  <c r="U252" s="1"/>
  <c r="U251" s="1"/>
  <c r="U249" s="1"/>
  <c r="T253"/>
  <c r="T202"/>
  <c r="S202"/>
  <c r="R202"/>
  <c r="Q202"/>
  <c r="P202"/>
  <c r="W77"/>
  <c r="O203"/>
  <c r="O277"/>
  <c r="AR271"/>
  <c r="AR272"/>
  <c r="AR274"/>
  <c r="S270"/>
  <c r="S271"/>
  <c r="S272"/>
  <c r="S273"/>
  <c r="S274"/>
  <c r="AR269"/>
  <c r="S269"/>
  <c r="O270"/>
  <c r="X270" s="1"/>
  <c r="O271"/>
  <c r="X271" s="1"/>
  <c r="O272"/>
  <c r="X272" s="1"/>
  <c r="O273"/>
  <c r="X273" s="1"/>
  <c r="O274"/>
  <c r="X274" s="1"/>
  <c r="O269"/>
  <c r="X269" s="1"/>
  <c r="AR267"/>
  <c r="AR264"/>
  <c r="AR263"/>
  <c r="S267"/>
  <c r="S266"/>
  <c r="S265"/>
  <c r="S264"/>
  <c r="S263"/>
  <c r="O264"/>
  <c r="X264" s="1"/>
  <c r="O265"/>
  <c r="X265" s="1"/>
  <c r="O267"/>
  <c r="X267" s="1"/>
  <c r="O263"/>
  <c r="X263" s="1"/>
  <c r="S261"/>
  <c r="S260" s="1"/>
  <c r="AR259"/>
  <c r="AR258"/>
  <c r="AR257"/>
  <c r="S259"/>
  <c r="S258"/>
  <c r="S257"/>
  <c r="AR255"/>
  <c r="S255"/>
  <c r="S254"/>
  <c r="W243"/>
  <c r="W242"/>
  <c r="W241"/>
  <c r="W240"/>
  <c r="W239"/>
  <c r="W238"/>
  <c r="W237"/>
  <c r="W236"/>
  <c r="W235"/>
  <c r="W234"/>
  <c r="W233"/>
  <c r="S243"/>
  <c r="S242"/>
  <c r="S241"/>
  <c r="S240"/>
  <c r="S239"/>
  <c r="S238"/>
  <c r="S237"/>
  <c r="S236"/>
  <c r="S235"/>
  <c r="S234"/>
  <c r="S233"/>
  <c r="W231"/>
  <c r="W230"/>
  <c r="W229"/>
  <c r="W228"/>
  <c r="W227"/>
  <c r="W226"/>
  <c r="W225"/>
  <c r="W224"/>
  <c r="S231"/>
  <c r="S230"/>
  <c r="S229"/>
  <c r="S228"/>
  <c r="S227"/>
  <c r="S226"/>
  <c r="S225"/>
  <c r="S224"/>
  <c r="W222"/>
  <c r="S222"/>
  <c r="S221" s="1"/>
  <c r="W220"/>
  <c r="W219"/>
  <c r="AR218"/>
  <c r="S220"/>
  <c r="S219"/>
  <c r="S218"/>
  <c r="W216"/>
  <c r="AR215"/>
  <c r="S216"/>
  <c r="S215"/>
  <c r="AR168"/>
  <c r="AR167"/>
  <c r="AR165"/>
  <c r="AR163"/>
  <c r="S168"/>
  <c r="S167"/>
  <c r="S166"/>
  <c r="S165"/>
  <c r="S163"/>
  <c r="W160"/>
  <c r="W159"/>
  <c r="W158"/>
  <c r="W157"/>
  <c r="W156"/>
  <c r="W155"/>
  <c r="W154"/>
  <c r="S160"/>
  <c r="S159"/>
  <c r="S158"/>
  <c r="S157"/>
  <c r="S156"/>
  <c r="S155"/>
  <c r="S154"/>
  <c r="W152"/>
  <c r="W151"/>
  <c r="W150"/>
  <c r="W149"/>
  <c r="W148"/>
  <c r="W147"/>
  <c r="W146"/>
  <c r="W145"/>
  <c r="AR144"/>
  <c r="S152"/>
  <c r="S151"/>
  <c r="S150"/>
  <c r="S149"/>
  <c r="S148"/>
  <c r="S147"/>
  <c r="S146"/>
  <c r="S145"/>
  <c r="S144"/>
  <c r="S142"/>
  <c r="S141" s="1"/>
  <c r="W140"/>
  <c r="W139"/>
  <c r="W138"/>
  <c r="W137"/>
  <c r="AR136"/>
  <c r="S140"/>
  <c r="S139"/>
  <c r="S138"/>
  <c r="S137"/>
  <c r="S136"/>
  <c r="W134"/>
  <c r="S134"/>
  <c r="S133"/>
  <c r="W125"/>
  <c r="W124"/>
  <c r="W123"/>
  <c r="W122"/>
  <c r="W121"/>
  <c r="S125"/>
  <c r="S124"/>
  <c r="S123"/>
  <c r="S122"/>
  <c r="S121"/>
  <c r="W119"/>
  <c r="W118"/>
  <c r="W117"/>
  <c r="W116"/>
  <c r="S119"/>
  <c r="S118"/>
  <c r="S117"/>
  <c r="S116"/>
  <c r="W114"/>
  <c r="S114"/>
  <c r="S113" s="1"/>
  <c r="W112"/>
  <c r="W111"/>
  <c r="W110"/>
  <c r="S112"/>
  <c r="S111"/>
  <c r="S110"/>
  <c r="W108"/>
  <c r="W107"/>
  <c r="S108"/>
  <c r="S107"/>
  <c r="W101"/>
  <c r="W100"/>
  <c r="W98"/>
  <c r="W97"/>
  <c r="S101"/>
  <c r="S100"/>
  <c r="S98"/>
  <c r="S97"/>
  <c r="W95"/>
  <c r="W94"/>
  <c r="W93"/>
  <c r="W92"/>
  <c r="S95"/>
  <c r="S94"/>
  <c r="S93"/>
  <c r="S92"/>
  <c r="W90"/>
  <c r="S90"/>
  <c r="S89" s="1"/>
  <c r="S88"/>
  <c r="S87"/>
  <c r="S86"/>
  <c r="W84"/>
  <c r="W83"/>
  <c r="S84"/>
  <c r="S83"/>
  <c r="W75"/>
  <c r="W74"/>
  <c r="S75"/>
  <c r="S74"/>
  <c r="S73"/>
  <c r="W71"/>
  <c r="W70"/>
  <c r="W69"/>
  <c r="W68"/>
  <c r="W67"/>
  <c r="W66"/>
  <c r="W65"/>
  <c r="W64"/>
  <c r="W63"/>
  <c r="W62"/>
  <c r="W61"/>
  <c r="S71"/>
  <c r="S70"/>
  <c r="S69"/>
  <c r="S68"/>
  <c r="S67"/>
  <c r="S66"/>
  <c r="S65"/>
  <c r="S64"/>
  <c r="S63"/>
  <c r="S62"/>
  <c r="S61"/>
  <c r="W59"/>
  <c r="W58"/>
  <c r="W57"/>
  <c r="S59"/>
  <c r="S58"/>
  <c r="S57"/>
  <c r="W55"/>
  <c r="S55"/>
  <c r="S54" s="1"/>
  <c r="W53"/>
  <c r="W52"/>
  <c r="W51"/>
  <c r="S53"/>
  <c r="S52"/>
  <c r="S51"/>
  <c r="W49"/>
  <c r="W48"/>
  <c r="S49"/>
  <c r="S48"/>
  <c r="V10"/>
  <c r="V9" s="1"/>
  <c r="U10"/>
  <c r="U9" s="1"/>
  <c r="T10"/>
  <c r="R10"/>
  <c r="R9" s="1"/>
  <c r="R8" s="1"/>
  <c r="R6" s="1"/>
  <c r="Q10"/>
  <c r="Q9" s="1"/>
  <c r="P10"/>
  <c r="W38"/>
  <c r="S38"/>
  <c r="S37" s="1"/>
  <c r="W36"/>
  <c r="W35"/>
  <c r="W34"/>
  <c r="W33"/>
  <c r="W32"/>
  <c r="W31"/>
  <c r="W30"/>
  <c r="W29"/>
  <c r="W28"/>
  <c r="W27"/>
  <c r="S36"/>
  <c r="S35"/>
  <c r="S34"/>
  <c r="S33"/>
  <c r="S32"/>
  <c r="S31"/>
  <c r="S30"/>
  <c r="S29"/>
  <c r="S28"/>
  <c r="S27"/>
  <c r="W25"/>
  <c r="W24"/>
  <c r="W23"/>
  <c r="W22"/>
  <c r="W21"/>
  <c r="W20"/>
  <c r="S25"/>
  <c r="S24"/>
  <c r="S23"/>
  <c r="S22"/>
  <c r="S21"/>
  <c r="S20"/>
  <c r="W18"/>
  <c r="S18"/>
  <c r="S17" s="1"/>
  <c r="W16"/>
  <c r="W15"/>
  <c r="W14"/>
  <c r="S16"/>
  <c r="S15"/>
  <c r="S14"/>
  <c r="W12"/>
  <c r="W11"/>
  <c r="S12"/>
  <c r="S11"/>
  <c r="AR5"/>
  <c r="AR7"/>
  <c r="AR44"/>
  <c r="AR73"/>
  <c r="AR79"/>
  <c r="AR85"/>
  <c r="AR88"/>
  <c r="AR103"/>
  <c r="AR126"/>
  <c r="AR127"/>
  <c r="AR129"/>
  <c r="AR142"/>
  <c r="AR161"/>
  <c r="AR166"/>
  <c r="AR172"/>
  <c r="AR173"/>
  <c r="AR174"/>
  <c r="AR175"/>
  <c r="AR176"/>
  <c r="AR177"/>
  <c r="AR178"/>
  <c r="AR179"/>
  <c r="AR180"/>
  <c r="AR181"/>
  <c r="AR182"/>
  <c r="AR183"/>
  <c r="AR184"/>
  <c r="AR185"/>
  <c r="AR186"/>
  <c r="AR187"/>
  <c r="AR189"/>
  <c r="AR190"/>
  <c r="AR191"/>
  <c r="AR192"/>
  <c r="AR193"/>
  <c r="AR194"/>
  <c r="AR195"/>
  <c r="AR196"/>
  <c r="AR197"/>
  <c r="AR198"/>
  <c r="AR199"/>
  <c r="AR200"/>
  <c r="AR201"/>
  <c r="AR203"/>
  <c r="AR205"/>
  <c r="AR206"/>
  <c r="AR207"/>
  <c r="AR208"/>
  <c r="AR209"/>
  <c r="AR211"/>
  <c r="AR244"/>
  <c r="AR245"/>
  <c r="AR250"/>
  <c r="AR265"/>
  <c r="AR266"/>
  <c r="AR279"/>
  <c r="AR281"/>
  <c r="AR282"/>
  <c r="AR284"/>
  <c r="AR286"/>
  <c r="AR289"/>
  <c r="AR290"/>
  <c r="AR292"/>
  <c r="AR293"/>
  <c r="AR294"/>
  <c r="AR296"/>
  <c r="AR297"/>
  <c r="AR298"/>
  <c r="AR299"/>
  <c r="AR301"/>
  <c r="AR302"/>
  <c r="AR304"/>
  <c r="AR308"/>
  <c r="AR309"/>
  <c r="AR311"/>
  <c r="AR312"/>
  <c r="AR313"/>
  <c r="AR315"/>
  <c r="AR317"/>
  <c r="AR318"/>
  <c r="AR319"/>
  <c r="AR320"/>
  <c r="AR321"/>
  <c r="AR323"/>
  <c r="AR324"/>
  <c r="AR325"/>
  <c r="AR326"/>
  <c r="AR327"/>
  <c r="AR328"/>
  <c r="AR329"/>
  <c r="AR330"/>
  <c r="AR355"/>
  <c r="AR358"/>
  <c r="AR361"/>
  <c r="AR364"/>
  <c r="AR365"/>
  <c r="AR366"/>
  <c r="AR367"/>
  <c r="AR368"/>
  <c r="AR369"/>
  <c r="AR370"/>
  <c r="AR371"/>
  <c r="AR373"/>
  <c r="AR375"/>
  <c r="AR381"/>
  <c r="AR382"/>
  <c r="AR384"/>
  <c r="AR385"/>
  <c r="AR386"/>
  <c r="AR388"/>
  <c r="AR390"/>
  <c r="AR391"/>
  <c r="AR392"/>
  <c r="AR393"/>
  <c r="AR394"/>
  <c r="AR396"/>
  <c r="AR397"/>
  <c r="AR398"/>
  <c r="AR399"/>
  <c r="AR401"/>
  <c r="AR402"/>
  <c r="AR403"/>
  <c r="AR404"/>
  <c r="AR405"/>
  <c r="AR406"/>
  <c r="AR407"/>
  <c r="AR408"/>
  <c r="AR410"/>
  <c r="AR411"/>
  <c r="AR412"/>
  <c r="AR414"/>
  <c r="AR415"/>
  <c r="AR416"/>
  <c r="AR417"/>
  <c r="AR418"/>
  <c r="AR419"/>
  <c r="AR420"/>
  <c r="AR422"/>
  <c r="AR423"/>
  <c r="AR424"/>
  <c r="AR425"/>
  <c r="AR426"/>
  <c r="AR427"/>
  <c r="AR428"/>
  <c r="AR430"/>
  <c r="AR431"/>
  <c r="AR432"/>
  <c r="AR433"/>
  <c r="AR434"/>
  <c r="AR436"/>
  <c r="AR468"/>
  <c r="AR499"/>
  <c r="AR503"/>
  <c r="AR506"/>
  <c r="AR507"/>
  <c r="AR508"/>
  <c r="AR513"/>
  <c r="AR514"/>
  <c r="AR515"/>
  <c r="AR516"/>
  <c r="AR517"/>
  <c r="AR520"/>
  <c r="AR521"/>
  <c r="AR522"/>
  <c r="AR523"/>
  <c r="AR524"/>
  <c r="AR525"/>
  <c r="AR526"/>
  <c r="V435"/>
  <c r="U435"/>
  <c r="R435"/>
  <c r="Q435"/>
  <c r="T439"/>
  <c r="V438"/>
  <c r="U438"/>
  <c r="R438"/>
  <c r="S440" s="1"/>
  <c r="Q438"/>
  <c r="AR441"/>
  <c r="AR440"/>
  <c r="S441"/>
  <c r="W445"/>
  <c r="W444"/>
  <c r="S445"/>
  <c r="S444"/>
  <c r="S443"/>
  <c r="S447"/>
  <c r="W455"/>
  <c r="W454"/>
  <c r="W453"/>
  <c r="W452"/>
  <c r="W451"/>
  <c r="W450"/>
  <c r="AR449"/>
  <c r="S455"/>
  <c r="S454"/>
  <c r="S453"/>
  <c r="S452"/>
  <c r="S451"/>
  <c r="S450"/>
  <c r="S449"/>
  <c r="AR464"/>
  <c r="AR463"/>
  <c r="AR462"/>
  <c r="AR461"/>
  <c r="AR460"/>
  <c r="AR459"/>
  <c r="AR458"/>
  <c r="AR466"/>
  <c r="V467"/>
  <c r="U467"/>
  <c r="R467"/>
  <c r="Q467"/>
  <c r="AR472"/>
  <c r="AR471"/>
  <c r="W477"/>
  <c r="W476"/>
  <c r="W475"/>
  <c r="W474"/>
  <c r="S477"/>
  <c r="S476"/>
  <c r="S475"/>
  <c r="S474"/>
  <c r="W479"/>
  <c r="S479"/>
  <c r="S478" s="1"/>
  <c r="W486"/>
  <c r="W485"/>
  <c r="W484"/>
  <c r="W483"/>
  <c r="W482"/>
  <c r="W481"/>
  <c r="S486"/>
  <c r="S485"/>
  <c r="S484"/>
  <c r="S483"/>
  <c r="S482"/>
  <c r="S481"/>
  <c r="W489"/>
  <c r="W490"/>
  <c r="W491"/>
  <c r="W492"/>
  <c r="W493"/>
  <c r="W494"/>
  <c r="W495"/>
  <c r="S489"/>
  <c r="S490"/>
  <c r="S491"/>
  <c r="S492"/>
  <c r="S493"/>
  <c r="S494"/>
  <c r="S495"/>
  <c r="W488"/>
  <c r="S488"/>
  <c r="W497"/>
  <c r="S497"/>
  <c r="S496" s="1"/>
  <c r="O497"/>
  <c r="S502"/>
  <c r="S505"/>
  <c r="W510"/>
  <c r="S510"/>
  <c r="S509" s="1"/>
  <c r="S512"/>
  <c r="S519"/>
  <c r="O519"/>
  <c r="AR528"/>
  <c r="S528"/>
  <c r="W353"/>
  <c r="S353"/>
  <c r="W349"/>
  <c r="S349"/>
  <c r="S346"/>
  <c r="W346"/>
  <c r="W343"/>
  <c r="S343"/>
  <c r="W365"/>
  <c r="W362"/>
  <c r="S362"/>
  <c r="S361" s="1"/>
  <c r="W359"/>
  <c r="W355"/>
  <c r="W351"/>
  <c r="S351"/>
  <c r="W348"/>
  <c r="S348"/>
  <c r="S347" s="1"/>
  <c r="W345"/>
  <c r="S345"/>
  <c r="S344" s="1"/>
  <c r="W342"/>
  <c r="S342"/>
  <c r="S341" s="1"/>
  <c r="S333"/>
  <c r="S334"/>
  <c r="S335"/>
  <c r="S336"/>
  <c r="S337"/>
  <c r="S338"/>
  <c r="S332"/>
  <c r="S307"/>
  <c r="R307"/>
  <c r="Q307"/>
  <c r="P307"/>
  <c r="V310"/>
  <c r="V306" s="1"/>
  <c r="U310"/>
  <c r="U306" s="1"/>
  <c r="T310"/>
  <c r="R310"/>
  <c r="Q310"/>
  <c r="P310"/>
  <c r="V314"/>
  <c r="U314"/>
  <c r="T314"/>
  <c r="R314"/>
  <c r="Q314"/>
  <c r="P314"/>
  <c r="V322"/>
  <c r="V316" s="1"/>
  <c r="U322"/>
  <c r="R322"/>
  <c r="R316" s="1"/>
  <c r="Q322"/>
  <c r="Q316" s="1"/>
  <c r="P322"/>
  <c r="P316" s="1"/>
  <c r="W333"/>
  <c r="W334"/>
  <c r="W335"/>
  <c r="W336"/>
  <c r="W337"/>
  <c r="W338"/>
  <c r="O332"/>
  <c r="W529"/>
  <c r="T442"/>
  <c r="T446"/>
  <c r="S446"/>
  <c r="T456"/>
  <c r="S529"/>
  <c r="S526"/>
  <c r="S525"/>
  <c r="S524"/>
  <c r="S523"/>
  <c r="S522"/>
  <c r="S517"/>
  <c r="S516"/>
  <c r="S515"/>
  <c r="S514"/>
  <c r="S513"/>
  <c r="S508"/>
  <c r="S506"/>
  <c r="S503"/>
  <c r="T496"/>
  <c r="T487"/>
  <c r="T478"/>
  <c r="T473"/>
  <c r="T470"/>
  <c r="W465"/>
  <c r="S429"/>
  <c r="R429"/>
  <c r="S426"/>
  <c r="P426"/>
  <c r="AR421"/>
  <c r="AR413"/>
  <c r="U376"/>
  <c r="R409"/>
  <c r="Q409"/>
  <c r="S411" s="1"/>
  <c r="P409"/>
  <c r="V400"/>
  <c r="R400"/>
  <c r="T395"/>
  <c r="P395"/>
  <c r="P389" s="1"/>
  <c r="S387"/>
  <c r="W387"/>
  <c r="T387"/>
  <c r="P387"/>
  <c r="W383"/>
  <c r="T383"/>
  <c r="P383"/>
  <c r="W380"/>
  <c r="T380"/>
  <c r="S380"/>
  <c r="P380"/>
  <c r="P379" s="1"/>
  <c r="P374"/>
  <c r="S373"/>
  <c r="S368"/>
  <c r="S366"/>
  <c r="U364"/>
  <c r="Q364"/>
  <c r="S365" s="1"/>
  <c r="S364" s="1"/>
  <c r="U361"/>
  <c r="Q361"/>
  <c r="S360"/>
  <c r="U358"/>
  <c r="Q358"/>
  <c r="S359" s="1"/>
  <c r="S358" s="1"/>
  <c r="Q354"/>
  <c r="S355" s="1"/>
  <c r="S354" s="1"/>
  <c r="U350"/>
  <c r="Q350"/>
  <c r="U347"/>
  <c r="Q347"/>
  <c r="U344"/>
  <c r="Q344"/>
  <c r="Q341"/>
  <c r="R331"/>
  <c r="Q331"/>
  <c r="P331"/>
  <c r="AD300"/>
  <c r="P46" i="10"/>
  <c r="P6" s="1"/>
  <c r="Z287" i="4" s="1"/>
  <c r="M38" i="10"/>
  <c r="M6" s="1"/>
  <c r="P19" i="7"/>
  <c r="P6" s="1"/>
  <c r="M19"/>
  <c r="S329" i="4"/>
  <c r="S328"/>
  <c r="S315"/>
  <c r="S313"/>
  <c r="S312"/>
  <c r="S302"/>
  <c r="P300"/>
  <c r="S293"/>
  <c r="S292"/>
  <c r="S291"/>
  <c r="S290"/>
  <c r="V287"/>
  <c r="Q287"/>
  <c r="P287"/>
  <c r="S286"/>
  <c r="S285"/>
  <c r="S284"/>
  <c r="S283"/>
  <c r="S282"/>
  <c r="S281"/>
  <c r="P280"/>
  <c r="S278"/>
  <c r="S277"/>
  <c r="R276"/>
  <c r="P276"/>
  <c r="T268"/>
  <c r="P268"/>
  <c r="P262" s="1"/>
  <c r="T260"/>
  <c r="P260"/>
  <c r="T256"/>
  <c r="P256"/>
  <c r="P253"/>
  <c r="R249"/>
  <c r="Q249"/>
  <c r="S245"/>
  <c r="S244"/>
  <c r="P232"/>
  <c r="P223" s="1"/>
  <c r="P221"/>
  <c r="P217"/>
  <c r="P214"/>
  <c r="U210"/>
  <c r="Q210"/>
  <c r="W202"/>
  <c r="S201"/>
  <c r="R201"/>
  <c r="S200"/>
  <c r="S198"/>
  <c r="V185"/>
  <c r="T185"/>
  <c r="S185"/>
  <c r="S171" s="1"/>
  <c r="S170" s="1"/>
  <c r="R185"/>
  <c r="R171" s="1"/>
  <c r="Q185"/>
  <c r="Q170" s="1"/>
  <c r="Q169" s="1"/>
  <c r="P185"/>
  <c r="P171" s="1"/>
  <c r="V170"/>
  <c r="T153"/>
  <c r="P153"/>
  <c r="P143" s="1"/>
  <c r="V143"/>
  <c r="U143"/>
  <c r="R143"/>
  <c r="Q143"/>
  <c r="V141"/>
  <c r="U141"/>
  <c r="T141"/>
  <c r="R141"/>
  <c r="Q141"/>
  <c r="P141"/>
  <c r="V135"/>
  <c r="U135"/>
  <c r="R135"/>
  <c r="Q135"/>
  <c r="P135"/>
  <c r="V132"/>
  <c r="U132"/>
  <c r="T132"/>
  <c r="R132"/>
  <c r="Q132"/>
  <c r="P132"/>
  <c r="T120"/>
  <c r="P120"/>
  <c r="P115" s="1"/>
  <c r="T113"/>
  <c r="P113"/>
  <c r="T109"/>
  <c r="P109"/>
  <c r="T106"/>
  <c r="P106"/>
  <c r="T91"/>
  <c r="P96"/>
  <c r="P91" s="1"/>
  <c r="T89"/>
  <c r="P89"/>
  <c r="P85"/>
  <c r="T82"/>
  <c r="P82"/>
  <c r="T72"/>
  <c r="P72"/>
  <c r="T60"/>
  <c r="P60"/>
  <c r="P56" s="1"/>
  <c r="P54"/>
  <c r="T50"/>
  <c r="P50"/>
  <c r="T47"/>
  <c r="P47"/>
  <c r="P37"/>
  <c r="Q26"/>
  <c r="Q19" s="1"/>
  <c r="P26"/>
  <c r="P19" s="1"/>
  <c r="P17"/>
  <c r="P13"/>
  <c r="O126"/>
  <c r="L126"/>
  <c r="AH126" s="1"/>
  <c r="O125"/>
  <c r="O124"/>
  <c r="O123"/>
  <c r="O122"/>
  <c r="O121"/>
  <c r="N120"/>
  <c r="N115" s="1"/>
  <c r="M120"/>
  <c r="M115" s="1"/>
  <c r="L120"/>
  <c r="L115" s="1"/>
  <c r="O119"/>
  <c r="O118"/>
  <c r="O117"/>
  <c r="O116"/>
  <c r="O114"/>
  <c r="N113"/>
  <c r="M113"/>
  <c r="L113"/>
  <c r="O112"/>
  <c r="O111"/>
  <c r="O110"/>
  <c r="N109"/>
  <c r="M109"/>
  <c r="L109"/>
  <c r="O108"/>
  <c r="O107"/>
  <c r="N106"/>
  <c r="N105" s="1"/>
  <c r="M106"/>
  <c r="M105" s="1"/>
  <c r="L106"/>
  <c r="N102"/>
  <c r="M102"/>
  <c r="T17"/>
  <c r="T13"/>
  <c r="M6" i="7" l="1"/>
  <c r="R6" s="1"/>
  <c r="R19"/>
  <c r="AC529" i="4"/>
  <c r="AC336"/>
  <c r="AC365"/>
  <c r="AC497"/>
  <c r="AC486"/>
  <c r="AC453"/>
  <c r="AC387"/>
  <c r="AC395"/>
  <c r="AC337"/>
  <c r="AC333"/>
  <c r="AC345"/>
  <c r="AC351"/>
  <c r="AC362"/>
  <c r="AC346"/>
  <c r="AC510"/>
  <c r="AC494"/>
  <c r="AC490"/>
  <c r="AC481"/>
  <c r="AC485"/>
  <c r="AC474"/>
  <c r="AC452"/>
  <c r="AC444"/>
  <c r="AC11"/>
  <c r="AC20"/>
  <c r="AC24"/>
  <c r="AC27"/>
  <c r="AC31"/>
  <c r="AC35"/>
  <c r="AC48"/>
  <c r="AC62"/>
  <c r="AC66"/>
  <c r="AC70"/>
  <c r="AC92"/>
  <c r="AC97"/>
  <c r="AC111"/>
  <c r="AC116"/>
  <c r="AC124"/>
  <c r="AC134"/>
  <c r="AC138"/>
  <c r="AC147"/>
  <c r="AC151"/>
  <c r="AC157"/>
  <c r="AC216"/>
  <c r="AC222"/>
  <c r="W221"/>
  <c r="AC227"/>
  <c r="AC231"/>
  <c r="AC233"/>
  <c r="W232"/>
  <c r="AC237"/>
  <c r="AC241"/>
  <c r="W214"/>
  <c r="AC12"/>
  <c r="AC14"/>
  <c r="AC18"/>
  <c r="AC21"/>
  <c r="AC25"/>
  <c r="AC28"/>
  <c r="AC32"/>
  <c r="AC36"/>
  <c r="AC49"/>
  <c r="AC51"/>
  <c r="AC55"/>
  <c r="AC57"/>
  <c r="AC63"/>
  <c r="AC67"/>
  <c r="AC71"/>
  <c r="AC74"/>
  <c r="AC83"/>
  <c r="AC93"/>
  <c r="AC98"/>
  <c r="AC112"/>
  <c r="AC117"/>
  <c r="AC121"/>
  <c r="AC125"/>
  <c r="AC139"/>
  <c r="AC148"/>
  <c r="AC152"/>
  <c r="AC154"/>
  <c r="AC158"/>
  <c r="AC219"/>
  <c r="W217"/>
  <c r="AC224"/>
  <c r="W223"/>
  <c r="AC228"/>
  <c r="AC234"/>
  <c r="AC238"/>
  <c r="AC242"/>
  <c r="AC489"/>
  <c r="AC400"/>
  <c r="AC470"/>
  <c r="AC335"/>
  <c r="AC342"/>
  <c r="AC348"/>
  <c r="AC359"/>
  <c r="AC492"/>
  <c r="AC483"/>
  <c r="AC476"/>
  <c r="AC450"/>
  <c r="AC454"/>
  <c r="AC15"/>
  <c r="AC22"/>
  <c r="AC29"/>
  <c r="AC33"/>
  <c r="AC52"/>
  <c r="AC58"/>
  <c r="AC64"/>
  <c r="AC68"/>
  <c r="AC75"/>
  <c r="AC84"/>
  <c r="AC94"/>
  <c r="AC100"/>
  <c r="AC107"/>
  <c r="AC118"/>
  <c r="AC122"/>
  <c r="AC140"/>
  <c r="AC145"/>
  <c r="AC149"/>
  <c r="AC155"/>
  <c r="AC159"/>
  <c r="AC220"/>
  <c r="AC225"/>
  <c r="AC229"/>
  <c r="AC235"/>
  <c r="AC239"/>
  <c r="AC243"/>
  <c r="AC429"/>
  <c r="AC307"/>
  <c r="AC383"/>
  <c r="AC465"/>
  <c r="AC353"/>
  <c r="AC493"/>
  <c r="AC482"/>
  <c r="AC475"/>
  <c r="AC445"/>
  <c r="R6" i="10"/>
  <c r="AC338" i="4"/>
  <c r="AC334"/>
  <c r="AC343"/>
  <c r="AC349"/>
  <c r="AC488"/>
  <c r="AC495"/>
  <c r="AC491"/>
  <c r="AC484"/>
  <c r="AC479"/>
  <c r="AC477"/>
  <c r="AC451"/>
  <c r="AC455"/>
  <c r="AC16"/>
  <c r="AC23"/>
  <c r="AC30"/>
  <c r="AC34"/>
  <c r="AC38"/>
  <c r="AC53"/>
  <c r="AC59"/>
  <c r="AC61"/>
  <c r="AC65"/>
  <c r="AC69"/>
  <c r="AC90"/>
  <c r="AC95"/>
  <c r="AC101"/>
  <c r="AC108"/>
  <c r="AC110"/>
  <c r="AC114"/>
  <c r="AC119"/>
  <c r="AC123"/>
  <c r="AC137"/>
  <c r="AC146"/>
  <c r="AC150"/>
  <c r="AC156"/>
  <c r="AC160"/>
  <c r="AC226"/>
  <c r="AC230"/>
  <c r="AC236"/>
  <c r="AC240"/>
  <c r="AC77"/>
  <c r="AC409"/>
  <c r="AC380"/>
  <c r="AC322"/>
  <c r="AC185"/>
  <c r="AC355"/>
  <c r="W354"/>
  <c r="T291"/>
  <c r="R7" i="10"/>
  <c r="AC518" i="4"/>
  <c r="T288"/>
  <c r="AA288"/>
  <c r="R46" i="10"/>
  <c r="AC141" i="4"/>
  <c r="S31" i="10"/>
  <c r="T295" i="4"/>
  <c r="AA295"/>
  <c r="R31" i="10"/>
  <c r="U340" i="4"/>
  <c r="S43" i="10"/>
  <c r="R43"/>
  <c r="AA293" i="4"/>
  <c r="V277"/>
  <c r="S38" i="10"/>
  <c r="AA291" i="4"/>
  <c r="R38" i="10"/>
  <c r="T278" i="4"/>
  <c r="T283"/>
  <c r="AA283"/>
  <c r="AA285"/>
  <c r="T285"/>
  <c r="AE345"/>
  <c r="AE474"/>
  <c r="AE53"/>
  <c r="AE387"/>
  <c r="AE395"/>
  <c r="AE400"/>
  <c r="AE470"/>
  <c r="AE348"/>
  <c r="AE483"/>
  <c r="AE450"/>
  <c r="AE12"/>
  <c r="AE14"/>
  <c r="AE18"/>
  <c r="AE21"/>
  <c r="AE25"/>
  <c r="AE28"/>
  <c r="AE32"/>
  <c r="AE36"/>
  <c r="AE49"/>
  <c r="AE51"/>
  <c r="AE55"/>
  <c r="AE57"/>
  <c r="AE63"/>
  <c r="AE67"/>
  <c r="AE71"/>
  <c r="AE74"/>
  <c r="AE83"/>
  <c r="AE93"/>
  <c r="AE98"/>
  <c r="AE112"/>
  <c r="AE117"/>
  <c r="AE121"/>
  <c r="AE125"/>
  <c r="AE139"/>
  <c r="AE148"/>
  <c r="AE152"/>
  <c r="AE154"/>
  <c r="AE158"/>
  <c r="AE219"/>
  <c r="AE224"/>
  <c r="AE228"/>
  <c r="AE234"/>
  <c r="AE238"/>
  <c r="AE242"/>
  <c r="AE409"/>
  <c r="AE300"/>
  <c r="AE333"/>
  <c r="AE362"/>
  <c r="AE490"/>
  <c r="AE452"/>
  <c r="AE444"/>
  <c r="AE335"/>
  <c r="AE342"/>
  <c r="AE359"/>
  <c r="AE492"/>
  <c r="AE476"/>
  <c r="AE454"/>
  <c r="AE141"/>
  <c r="AE383"/>
  <c r="AE338"/>
  <c r="AE334"/>
  <c r="AE343"/>
  <c r="AE349"/>
  <c r="AE488"/>
  <c r="AE495"/>
  <c r="AE491"/>
  <c r="AE484"/>
  <c r="AE479"/>
  <c r="AE477"/>
  <c r="AE451"/>
  <c r="AE455"/>
  <c r="AE15"/>
  <c r="AE22"/>
  <c r="AE29"/>
  <c r="AE33"/>
  <c r="AE52"/>
  <c r="AE58"/>
  <c r="AE64"/>
  <c r="AE68"/>
  <c r="AE75"/>
  <c r="AE84"/>
  <c r="AE94"/>
  <c r="AE100"/>
  <c r="AE107"/>
  <c r="AE118"/>
  <c r="AE122"/>
  <c r="AE140"/>
  <c r="AE145"/>
  <c r="AE149"/>
  <c r="AE155"/>
  <c r="AE159"/>
  <c r="AE220"/>
  <c r="AE225"/>
  <c r="AE229"/>
  <c r="AE235"/>
  <c r="AE239"/>
  <c r="AE243"/>
  <c r="AE307"/>
  <c r="AE351"/>
  <c r="AE494"/>
  <c r="AE485"/>
  <c r="AE16"/>
  <c r="AE34"/>
  <c r="AE59"/>
  <c r="AE61"/>
  <c r="AE101"/>
  <c r="AE110"/>
  <c r="AE123"/>
  <c r="AE137"/>
  <c r="AE150"/>
  <c r="AE236"/>
  <c r="AE77"/>
  <c r="AE337"/>
  <c r="AE346"/>
  <c r="AE510"/>
  <c r="AE481"/>
  <c r="AE23"/>
  <c r="AE30"/>
  <c r="AE38"/>
  <c r="AE65"/>
  <c r="AE69"/>
  <c r="AE90"/>
  <c r="AE95"/>
  <c r="AE108"/>
  <c r="AE114"/>
  <c r="AE119"/>
  <c r="AE146"/>
  <c r="AE156"/>
  <c r="AE160"/>
  <c r="AE226"/>
  <c r="AE230"/>
  <c r="AE240"/>
  <c r="S7" i="10"/>
  <c r="AE465" i="4"/>
  <c r="AE529"/>
  <c r="AE336"/>
  <c r="AE355"/>
  <c r="AE353"/>
  <c r="AE497"/>
  <c r="AE493"/>
  <c r="AE489"/>
  <c r="AE482"/>
  <c r="AE486"/>
  <c r="AE475"/>
  <c r="AE453"/>
  <c r="AE445"/>
  <c r="AE11"/>
  <c r="AE20"/>
  <c r="AE24"/>
  <c r="AE27"/>
  <c r="AE31"/>
  <c r="AE35"/>
  <c r="AE48"/>
  <c r="AE62"/>
  <c r="AE66"/>
  <c r="AE70"/>
  <c r="AE92"/>
  <c r="AE97"/>
  <c r="AE111"/>
  <c r="AE116"/>
  <c r="AE124"/>
  <c r="AE134"/>
  <c r="AE138"/>
  <c r="AE147"/>
  <c r="AE151"/>
  <c r="AE157"/>
  <c r="AE216"/>
  <c r="AE222"/>
  <c r="AE227"/>
  <c r="AE231"/>
  <c r="AE233"/>
  <c r="AE237"/>
  <c r="AE241"/>
  <c r="AE429"/>
  <c r="AE162"/>
  <c r="AE365"/>
  <c r="W54"/>
  <c r="AE185"/>
  <c r="AE380"/>
  <c r="AE322"/>
  <c r="AE518"/>
  <c r="AD470"/>
  <c r="X332"/>
  <c r="AD332"/>
  <c r="X126"/>
  <c r="AD126"/>
  <c r="S46" i="10"/>
  <c r="AD497" i="4"/>
  <c r="AD111"/>
  <c r="AD116"/>
  <c r="AD124"/>
  <c r="AD112"/>
  <c r="AD117"/>
  <c r="AD121"/>
  <c r="AD125"/>
  <c r="AJ185"/>
  <c r="S6" i="11"/>
  <c r="S7"/>
  <c r="AD107" i="4"/>
  <c r="AD118"/>
  <c r="AD122"/>
  <c r="AR220"/>
  <c r="AJ243"/>
  <c r="X203"/>
  <c r="AD203"/>
  <c r="AJ333"/>
  <c r="AD333"/>
  <c r="X519"/>
  <c r="AD519"/>
  <c r="AD108"/>
  <c r="AD110"/>
  <c r="AD114"/>
  <c r="AD119"/>
  <c r="AD123"/>
  <c r="AJ322"/>
  <c r="AJ400"/>
  <c r="AI54"/>
  <c r="AJ348"/>
  <c r="AJ492"/>
  <c r="AJ454"/>
  <c r="AI23"/>
  <c r="AJ23"/>
  <c r="AI30"/>
  <c r="AJ30"/>
  <c r="AI34"/>
  <c r="AJ34"/>
  <c r="AJ38"/>
  <c r="AI53"/>
  <c r="AJ53"/>
  <c r="AI59"/>
  <c r="AJ59"/>
  <c r="AI61"/>
  <c r="AJ61"/>
  <c r="AI65"/>
  <c r="AJ65"/>
  <c r="AI90"/>
  <c r="AJ90"/>
  <c r="AI95"/>
  <c r="AJ95"/>
  <c r="AI101"/>
  <c r="AJ101"/>
  <c r="AI108"/>
  <c r="AJ108"/>
  <c r="X108"/>
  <c r="AJ110"/>
  <c r="X110"/>
  <c r="AJ114"/>
  <c r="X114"/>
  <c r="AJ119"/>
  <c r="X119"/>
  <c r="AJ123"/>
  <c r="X123"/>
  <c r="AJ137"/>
  <c r="AJ146"/>
  <c r="AJ150"/>
  <c r="AJ156"/>
  <c r="AI160"/>
  <c r="AJ160"/>
  <c r="AJ226"/>
  <c r="AJ230"/>
  <c r="AI236"/>
  <c r="AJ236"/>
  <c r="AI240"/>
  <c r="AJ240"/>
  <c r="AI77"/>
  <c r="AJ77"/>
  <c r="AJ383"/>
  <c r="AJ359"/>
  <c r="AJ483"/>
  <c r="AI450"/>
  <c r="AJ450"/>
  <c r="AJ16"/>
  <c r="AH89"/>
  <c r="AH113"/>
  <c r="AJ349"/>
  <c r="AI488"/>
  <c r="AJ488"/>
  <c r="AJ495"/>
  <c r="AJ491"/>
  <c r="AJ484"/>
  <c r="AJ477"/>
  <c r="AJ451"/>
  <c r="AJ455"/>
  <c r="AI20"/>
  <c r="AJ20"/>
  <c r="AI27"/>
  <c r="AJ27"/>
  <c r="AJ35"/>
  <c r="AI62"/>
  <c r="AJ62"/>
  <c r="AI66"/>
  <c r="AJ66"/>
  <c r="AI70"/>
  <c r="AJ70"/>
  <c r="AI111"/>
  <c r="AJ111"/>
  <c r="X111"/>
  <c r="AI116"/>
  <c r="AJ116"/>
  <c r="X116"/>
  <c r="AJ134"/>
  <c r="AJ138"/>
  <c r="AI147"/>
  <c r="AJ147"/>
  <c r="AI157"/>
  <c r="AJ157"/>
  <c r="AI216"/>
  <c r="AJ216"/>
  <c r="AI222"/>
  <c r="AJ222"/>
  <c r="AJ231"/>
  <c r="AJ241"/>
  <c r="AK300"/>
  <c r="AJ429"/>
  <c r="AI14"/>
  <c r="AJ14"/>
  <c r="AI21"/>
  <c r="AJ21"/>
  <c r="AI32"/>
  <c r="AJ32"/>
  <c r="AI49"/>
  <c r="AJ49"/>
  <c r="AJ55"/>
  <c r="AI71"/>
  <c r="AJ71"/>
  <c r="AI83"/>
  <c r="AJ83"/>
  <c r="AI98"/>
  <c r="AJ98"/>
  <c r="AJ112"/>
  <c r="X112"/>
  <c r="AI139"/>
  <c r="AJ139"/>
  <c r="AI152"/>
  <c r="AJ152"/>
  <c r="AJ154"/>
  <c r="AI228"/>
  <c r="AJ228"/>
  <c r="AJ238"/>
  <c r="AJ409"/>
  <c r="AJ335"/>
  <c r="AJ342"/>
  <c r="AJ476"/>
  <c r="AI69"/>
  <c r="AJ69"/>
  <c r="AH106"/>
  <c r="AL380"/>
  <c r="AJ380"/>
  <c r="AJ338"/>
  <c r="AJ334"/>
  <c r="AJ343"/>
  <c r="AJ479"/>
  <c r="AI11"/>
  <c r="AJ11"/>
  <c r="AI24"/>
  <c r="AJ24"/>
  <c r="AI31"/>
  <c r="AJ31"/>
  <c r="AI48"/>
  <c r="AJ48"/>
  <c r="AI92"/>
  <c r="AJ92"/>
  <c r="AI97"/>
  <c r="AJ97"/>
  <c r="AJ124"/>
  <c r="X124"/>
  <c r="AI151"/>
  <c r="AJ151"/>
  <c r="AI227"/>
  <c r="AJ227"/>
  <c r="AI233"/>
  <c r="AJ233"/>
  <c r="AI237"/>
  <c r="AJ237"/>
  <c r="X470"/>
  <c r="AI518"/>
  <c r="AJ162"/>
  <c r="AJ141"/>
  <c r="W169"/>
  <c r="AI465"/>
  <c r="AJ465"/>
  <c r="AI337"/>
  <c r="AJ337"/>
  <c r="AJ345"/>
  <c r="AJ351"/>
  <c r="AJ362"/>
  <c r="AJ346"/>
  <c r="AI510"/>
  <c r="AJ510"/>
  <c r="AI494"/>
  <c r="AJ494"/>
  <c r="AI490"/>
  <c r="AJ490"/>
  <c r="AI481"/>
  <c r="AJ481"/>
  <c r="AI485"/>
  <c r="AJ485"/>
  <c r="AI474"/>
  <c r="AJ474"/>
  <c r="AI452"/>
  <c r="AJ452"/>
  <c r="AJ444"/>
  <c r="AI12"/>
  <c r="AJ12"/>
  <c r="AI18"/>
  <c r="AJ18"/>
  <c r="AI25"/>
  <c r="AJ25"/>
  <c r="AI28"/>
  <c r="AJ28"/>
  <c r="AJ36"/>
  <c r="AI51"/>
  <c r="AJ51"/>
  <c r="AI57"/>
  <c r="AJ57"/>
  <c r="AI63"/>
  <c r="AJ63"/>
  <c r="AI67"/>
  <c r="AJ67"/>
  <c r="AI74"/>
  <c r="AJ74"/>
  <c r="AI93"/>
  <c r="AJ93"/>
  <c r="AI117"/>
  <c r="AJ117"/>
  <c r="X117"/>
  <c r="AI121"/>
  <c r="AJ121"/>
  <c r="X121"/>
  <c r="AI125"/>
  <c r="AJ125"/>
  <c r="X125"/>
  <c r="AI148"/>
  <c r="AJ148"/>
  <c r="AI158"/>
  <c r="AJ158"/>
  <c r="AJ219"/>
  <c r="AI224"/>
  <c r="AJ224"/>
  <c r="AJ234"/>
  <c r="AJ242"/>
  <c r="AH109"/>
  <c r="AH120"/>
  <c r="AJ387"/>
  <c r="T389"/>
  <c r="AJ395"/>
  <c r="AI470"/>
  <c r="AJ470"/>
  <c r="T448"/>
  <c r="AI529"/>
  <c r="AJ529"/>
  <c r="AJ336"/>
  <c r="AJ355"/>
  <c r="AJ365"/>
  <c r="AJ353"/>
  <c r="AI497"/>
  <c r="X497"/>
  <c r="AJ497"/>
  <c r="AI493"/>
  <c r="AJ493"/>
  <c r="AI489"/>
  <c r="AJ489"/>
  <c r="AI482"/>
  <c r="AJ482"/>
  <c r="AI486"/>
  <c r="AJ486"/>
  <c r="AI475"/>
  <c r="AJ475"/>
  <c r="AJ453"/>
  <c r="AJ445"/>
  <c r="AR71"/>
  <c r="AJ15"/>
  <c r="AJ22"/>
  <c r="AI29"/>
  <c r="AJ29"/>
  <c r="AI33"/>
  <c r="AJ33"/>
  <c r="AI52"/>
  <c r="AJ52"/>
  <c r="AI58"/>
  <c r="AJ58"/>
  <c r="AI64"/>
  <c r="AJ64"/>
  <c r="AI68"/>
  <c r="AJ68"/>
  <c r="AI75"/>
  <c r="AJ75"/>
  <c r="AJ84"/>
  <c r="AJ94"/>
  <c r="AJ100"/>
  <c r="AJ107"/>
  <c r="X107"/>
  <c r="X118"/>
  <c r="AJ118"/>
  <c r="AI122"/>
  <c r="AJ122"/>
  <c r="X122"/>
  <c r="AJ140"/>
  <c r="AI145"/>
  <c r="AJ145"/>
  <c r="AI149"/>
  <c r="AJ149"/>
  <c r="AJ155"/>
  <c r="AJ159"/>
  <c r="AI220"/>
  <c r="AJ220"/>
  <c r="AI225"/>
  <c r="AJ225"/>
  <c r="AI229"/>
  <c r="AJ229"/>
  <c r="AJ235"/>
  <c r="AJ239"/>
  <c r="AQ389"/>
  <c r="W316"/>
  <c r="AJ307"/>
  <c r="AJ518"/>
  <c r="AJ300"/>
  <c r="AR160"/>
  <c r="AR57"/>
  <c r="AI154"/>
  <c r="W153"/>
  <c r="AC153" s="1"/>
  <c r="AR125"/>
  <c r="AI300"/>
  <c r="AL334"/>
  <c r="AI334"/>
  <c r="AK334"/>
  <c r="AL343"/>
  <c r="AI343"/>
  <c r="AK343"/>
  <c r="AR495"/>
  <c r="AI495"/>
  <c r="AR484"/>
  <c r="AI484"/>
  <c r="AR138"/>
  <c r="AI138"/>
  <c r="AR241"/>
  <c r="AI241"/>
  <c r="T170"/>
  <c r="AI185"/>
  <c r="AL333"/>
  <c r="AI333"/>
  <c r="AK333"/>
  <c r="W331"/>
  <c r="AI345"/>
  <c r="AK345"/>
  <c r="AL351"/>
  <c r="AI351"/>
  <c r="AK351"/>
  <c r="AI362"/>
  <c r="AK362"/>
  <c r="AL346"/>
  <c r="AI346"/>
  <c r="AK346"/>
  <c r="AR36"/>
  <c r="AI36"/>
  <c r="AR55"/>
  <c r="AI55"/>
  <c r="AR112"/>
  <c r="AI112"/>
  <c r="AI219"/>
  <c r="AC217"/>
  <c r="AR234"/>
  <c r="AI234"/>
  <c r="AR238"/>
  <c r="AI238"/>
  <c r="AR242"/>
  <c r="AI242"/>
  <c r="U498"/>
  <c r="AL338"/>
  <c r="AI338"/>
  <c r="AK338"/>
  <c r="T306"/>
  <c r="AR35"/>
  <c r="AI35"/>
  <c r="AR134"/>
  <c r="AI134"/>
  <c r="T56"/>
  <c r="T81"/>
  <c r="AI336"/>
  <c r="AK336"/>
  <c r="AL355"/>
  <c r="AI355"/>
  <c r="AK355"/>
  <c r="AL365"/>
  <c r="AI365"/>
  <c r="AK365"/>
  <c r="AI353"/>
  <c r="AK353"/>
  <c r="AR15"/>
  <c r="AI15"/>
  <c r="AR22"/>
  <c r="AI22"/>
  <c r="AR84"/>
  <c r="AI84"/>
  <c r="AR94"/>
  <c r="AI94"/>
  <c r="AR100"/>
  <c r="AI100"/>
  <c r="AR107"/>
  <c r="AI107"/>
  <c r="AR118"/>
  <c r="AI118"/>
  <c r="AR140"/>
  <c r="AI140"/>
  <c r="AR155"/>
  <c r="AI155"/>
  <c r="AR159"/>
  <c r="AI159"/>
  <c r="AR235"/>
  <c r="AI235"/>
  <c r="AR239"/>
  <c r="AI239"/>
  <c r="AR243"/>
  <c r="AI243"/>
  <c r="AK307"/>
  <c r="AI307"/>
  <c r="AI349"/>
  <c r="AK349"/>
  <c r="AR491"/>
  <c r="AI491"/>
  <c r="AQ478"/>
  <c r="AI479"/>
  <c r="AR477"/>
  <c r="AI477"/>
  <c r="AR124"/>
  <c r="AI124"/>
  <c r="AR231"/>
  <c r="AI231"/>
  <c r="T115"/>
  <c r="T143"/>
  <c r="T262"/>
  <c r="AI335"/>
  <c r="AK335"/>
  <c r="AL342"/>
  <c r="AI342"/>
  <c r="AK342"/>
  <c r="AL348"/>
  <c r="AI348"/>
  <c r="AK348"/>
  <c r="AL359"/>
  <c r="AI359"/>
  <c r="AK359"/>
  <c r="AR492"/>
  <c r="AI492"/>
  <c r="AR483"/>
  <c r="AI483"/>
  <c r="AR476"/>
  <c r="AI476"/>
  <c r="AR16"/>
  <c r="AI16"/>
  <c r="AR38"/>
  <c r="AI38"/>
  <c r="AR110"/>
  <c r="AI110"/>
  <c r="AR114"/>
  <c r="AI114"/>
  <c r="AR119"/>
  <c r="AI119"/>
  <c r="AR123"/>
  <c r="AI123"/>
  <c r="AR137"/>
  <c r="AI137"/>
  <c r="AR146"/>
  <c r="AI146"/>
  <c r="AR150"/>
  <c r="AI150"/>
  <c r="AR156"/>
  <c r="AI156"/>
  <c r="AR226"/>
  <c r="AI226"/>
  <c r="AR230"/>
  <c r="AI230"/>
  <c r="AI141"/>
  <c r="T498"/>
  <c r="AI322"/>
  <c r="AK322"/>
  <c r="V305"/>
  <c r="V303" s="1"/>
  <c r="AI429"/>
  <c r="AR453"/>
  <c r="AI453"/>
  <c r="AR454"/>
  <c r="AI454"/>
  <c r="AR451"/>
  <c r="AI451"/>
  <c r="AR455"/>
  <c r="AI455"/>
  <c r="AD287"/>
  <c r="AL337"/>
  <c r="AK337"/>
  <c r="AL383"/>
  <c r="AL307"/>
  <c r="AR349"/>
  <c r="AL349"/>
  <c r="AR336"/>
  <c r="AL336"/>
  <c r="AR345"/>
  <c r="AL345"/>
  <c r="W361"/>
  <c r="AE361" s="1"/>
  <c r="AL362"/>
  <c r="U316"/>
  <c r="AL322"/>
  <c r="AL387"/>
  <c r="AR332"/>
  <c r="AL332"/>
  <c r="AR335"/>
  <c r="AL335"/>
  <c r="AR352"/>
  <c r="AL353"/>
  <c r="S350"/>
  <c r="S340" s="1"/>
  <c r="S339" s="1"/>
  <c r="Q376"/>
  <c r="S410"/>
  <c r="S409" s="1"/>
  <c r="S439"/>
  <c r="S501"/>
  <c r="R170"/>
  <c r="R169" s="1"/>
  <c r="S473"/>
  <c r="S469" s="1"/>
  <c r="W253"/>
  <c r="AE253" s="1"/>
  <c r="AQ376"/>
  <c r="T7" i="9"/>
  <c r="AR14" i="4"/>
  <c r="AR25"/>
  <c r="AR32"/>
  <c r="AR529"/>
  <c r="W527"/>
  <c r="AQ527"/>
  <c r="AR333"/>
  <c r="AR346"/>
  <c r="AR497"/>
  <c r="AR493"/>
  <c r="AR486"/>
  <c r="AR475"/>
  <c r="AR445"/>
  <c r="AR338"/>
  <c r="AR334"/>
  <c r="AR348"/>
  <c r="AR512"/>
  <c r="AQ511"/>
  <c r="W511"/>
  <c r="AE511" s="1"/>
  <c r="AR505"/>
  <c r="AQ504"/>
  <c r="W504"/>
  <c r="AR490"/>
  <c r="AR481"/>
  <c r="AR485"/>
  <c r="AR337"/>
  <c r="W132"/>
  <c r="AE132" s="1"/>
  <c r="AR147"/>
  <c r="AR151"/>
  <c r="AR157"/>
  <c r="AR216"/>
  <c r="AE214"/>
  <c r="AE221"/>
  <c r="AR222"/>
  <c r="AR227"/>
  <c r="AR233"/>
  <c r="AE232"/>
  <c r="AR237"/>
  <c r="AR342"/>
  <c r="AR343"/>
  <c r="AR494"/>
  <c r="AR474"/>
  <c r="AQ473"/>
  <c r="W473"/>
  <c r="AE473" s="1"/>
  <c r="AR452"/>
  <c r="AR444"/>
  <c r="AQ442"/>
  <c r="AR12"/>
  <c r="AR18"/>
  <c r="AR21"/>
  <c r="AR28"/>
  <c r="AR489"/>
  <c r="AR482"/>
  <c r="P46"/>
  <c r="P45" s="1"/>
  <c r="AR11"/>
  <c r="AR20"/>
  <c r="AR24"/>
  <c r="AR27"/>
  <c r="AR31"/>
  <c r="W47"/>
  <c r="AE47" s="1"/>
  <c r="AR62"/>
  <c r="AR66"/>
  <c r="AR70"/>
  <c r="AR93"/>
  <c r="AR98"/>
  <c r="AR117"/>
  <c r="AR121"/>
  <c r="AR74"/>
  <c r="W82"/>
  <c r="AE82" s="1"/>
  <c r="AR122"/>
  <c r="AR139"/>
  <c r="AR148"/>
  <c r="AR152"/>
  <c r="AR154"/>
  <c r="AR158"/>
  <c r="AR219"/>
  <c r="AR224"/>
  <c r="AR228"/>
  <c r="AR351"/>
  <c r="S518"/>
  <c r="S511" s="1"/>
  <c r="AQ509"/>
  <c r="W509"/>
  <c r="AR502"/>
  <c r="W501"/>
  <c r="AQ501"/>
  <c r="AR450"/>
  <c r="AR67"/>
  <c r="AR51"/>
  <c r="AR29"/>
  <c r="AR33"/>
  <c r="AR52"/>
  <c r="AR58"/>
  <c r="AR64"/>
  <c r="AR68"/>
  <c r="AR75"/>
  <c r="AR86"/>
  <c r="AR90"/>
  <c r="AR95"/>
  <c r="AR101"/>
  <c r="AR108"/>
  <c r="AR149"/>
  <c r="AR225"/>
  <c r="AR229"/>
  <c r="S527"/>
  <c r="S504"/>
  <c r="AR488"/>
  <c r="AQ487"/>
  <c r="AR63"/>
  <c r="AR49"/>
  <c r="AR23"/>
  <c r="AR30"/>
  <c r="AR34"/>
  <c r="AR53"/>
  <c r="AR59"/>
  <c r="AR61"/>
  <c r="AR65"/>
  <c r="AR69"/>
  <c r="S82"/>
  <c r="AR87"/>
  <c r="AR92"/>
  <c r="AQ48"/>
  <c r="S106"/>
  <c r="AR111"/>
  <c r="AR240"/>
  <c r="AR77"/>
  <c r="U128"/>
  <c r="T252"/>
  <c r="S109"/>
  <c r="R306"/>
  <c r="R305" s="1"/>
  <c r="R303" s="1"/>
  <c r="S331"/>
  <c r="P105"/>
  <c r="P104" s="1"/>
  <c r="P102" s="1"/>
  <c r="W256"/>
  <c r="AE256" s="1"/>
  <c r="AR83"/>
  <c r="T105"/>
  <c r="W344"/>
  <c r="AE344" s="1"/>
  <c r="AR380"/>
  <c r="AR387"/>
  <c r="S438"/>
  <c r="S47"/>
  <c r="AR270"/>
  <c r="W350"/>
  <c r="AE350" s="1"/>
  <c r="AR383"/>
  <c r="W89"/>
  <c r="AD89" s="1"/>
  <c r="W113"/>
  <c r="AE113" s="1"/>
  <c r="AR300"/>
  <c r="S487"/>
  <c r="S480" s="1"/>
  <c r="S60"/>
  <c r="S56" s="1"/>
  <c r="S72"/>
  <c r="S85"/>
  <c r="S162"/>
  <c r="S256"/>
  <c r="W106"/>
  <c r="AE106" s="1"/>
  <c r="P9"/>
  <c r="P8" s="1"/>
  <c r="P6" s="1"/>
  <c r="W50"/>
  <c r="AC50" s="1"/>
  <c r="S322"/>
  <c r="S316" s="1"/>
  <c r="T46"/>
  <c r="W341"/>
  <c r="W347"/>
  <c r="AE347" s="1"/>
  <c r="P306"/>
  <c r="P305" s="1"/>
  <c r="P303" s="1"/>
  <c r="AR48"/>
  <c r="AR510"/>
  <c r="P81"/>
  <c r="P80" s="1"/>
  <c r="P78" s="1"/>
  <c r="AR374"/>
  <c r="AR395"/>
  <c r="W496"/>
  <c r="AC496" s="1"/>
  <c r="P435"/>
  <c r="Q306"/>
  <c r="Q305" s="1"/>
  <c r="AR254"/>
  <c r="AR133"/>
  <c r="W10"/>
  <c r="AC10" s="1"/>
  <c r="W109"/>
  <c r="AE109" s="1"/>
  <c r="AR400"/>
  <c r="R131"/>
  <c r="S10"/>
  <c r="T469"/>
  <c r="W314"/>
  <c r="AE314" s="1"/>
  <c r="V202"/>
  <c r="V169" s="1"/>
  <c r="AR204"/>
  <c r="T480"/>
  <c r="AR465"/>
  <c r="AR322"/>
  <c r="AR307"/>
  <c r="AE354"/>
  <c r="AR354"/>
  <c r="W478"/>
  <c r="AE478" s="1"/>
  <c r="AR479"/>
  <c r="W439"/>
  <c r="AE439" s="1"/>
  <c r="T438"/>
  <c r="U131"/>
  <c r="AR141"/>
  <c r="Q131"/>
  <c r="V131"/>
  <c r="Q128"/>
  <c r="AR188"/>
  <c r="P213"/>
  <c r="P210" s="1"/>
  <c r="P170" s="1"/>
  <c r="P169" s="1"/>
  <c r="P162" s="1"/>
  <c r="AR429"/>
  <c r="AR470"/>
  <c r="W310"/>
  <c r="AE310" s="1"/>
  <c r="AR54"/>
  <c r="AR357"/>
  <c r="W358"/>
  <c r="AE358" s="1"/>
  <c r="W364"/>
  <c r="AE364" s="1"/>
  <c r="AR363"/>
  <c r="AR447"/>
  <c r="W446"/>
  <c r="AC446" s="1"/>
  <c r="W442"/>
  <c r="AE442" s="1"/>
  <c r="AR443"/>
  <c r="AR360"/>
  <c r="W260"/>
  <c r="AE260" s="1"/>
  <c r="AR261"/>
  <c r="S314"/>
  <c r="AR519"/>
  <c r="S13"/>
  <c r="S50"/>
  <c r="S96"/>
  <c r="S91" s="1"/>
  <c r="W96"/>
  <c r="W135"/>
  <c r="AC135" s="1"/>
  <c r="S217"/>
  <c r="S253"/>
  <c r="W268"/>
  <c r="AE268" s="1"/>
  <c r="P467"/>
  <c r="S310"/>
  <c r="S306" s="1"/>
  <c r="W487"/>
  <c r="AE487" s="1"/>
  <c r="S456"/>
  <c r="S448" s="1"/>
  <c r="W456"/>
  <c r="AE456" s="1"/>
  <c r="AR457"/>
  <c r="S26"/>
  <c r="S19" s="1"/>
  <c r="Q8"/>
  <c r="Q6" s="1"/>
  <c r="T9"/>
  <c r="S120"/>
  <c r="S115" s="1"/>
  <c r="S132"/>
  <c r="S214"/>
  <c r="AR171"/>
  <c r="AR273"/>
  <c r="AR236"/>
  <c r="AR145"/>
  <c r="W120"/>
  <c r="AE120" s="1"/>
  <c r="AR116"/>
  <c r="AR97"/>
  <c r="W60"/>
  <c r="AE60" s="1"/>
  <c r="Q340"/>
  <c r="Q339" s="1"/>
  <c r="V376"/>
  <c r="T379"/>
  <c r="AR409"/>
  <c r="W379"/>
  <c r="S383"/>
  <c r="S379" s="1"/>
  <c r="P378"/>
  <c r="P376" s="1"/>
  <c r="S389"/>
  <c r="S300"/>
  <c r="P252"/>
  <c r="S276"/>
  <c r="S268"/>
  <c r="S262" s="1"/>
  <c r="T131"/>
  <c r="S135"/>
  <c r="S232"/>
  <c r="S223" s="1"/>
  <c r="S280"/>
  <c r="P131"/>
  <c r="S153"/>
  <c r="S143" s="1"/>
  <c r="W72"/>
  <c r="AE72" s="1"/>
  <c r="S287"/>
  <c r="L105"/>
  <c r="L104" s="1"/>
  <c r="L102" s="1"/>
  <c r="O109"/>
  <c r="O106"/>
  <c r="O113"/>
  <c r="O120"/>
  <c r="R376"/>
  <c r="AC96" l="1"/>
  <c r="AC501"/>
  <c r="AC170"/>
  <c r="AC54"/>
  <c r="Z283"/>
  <c r="AC113"/>
  <c r="AC509"/>
  <c r="AC504"/>
  <c r="AC316"/>
  <c r="AC527"/>
  <c r="AC331"/>
  <c r="AC268"/>
  <c r="W213"/>
  <c r="AC232"/>
  <c r="AC473"/>
  <c r="AC106"/>
  <c r="AC389"/>
  <c r="AC47"/>
  <c r="AC439"/>
  <c r="AC364"/>
  <c r="AC132"/>
  <c r="AC221"/>
  <c r="AC347"/>
  <c r="AC72"/>
  <c r="AC442"/>
  <c r="AC350"/>
  <c r="AH295"/>
  <c r="W295"/>
  <c r="AJ295" s="1"/>
  <c r="AC256"/>
  <c r="AC82"/>
  <c r="AE341"/>
  <c r="AC341"/>
  <c r="AC487"/>
  <c r="S6" i="10"/>
  <c r="AC314" i="4"/>
  <c r="W277"/>
  <c r="X277" s="1"/>
  <c r="V276"/>
  <c r="V249" s="1"/>
  <c r="AC120"/>
  <c r="AC511"/>
  <c r="AC478"/>
  <c r="AC344"/>
  <c r="AC214"/>
  <c r="AC60"/>
  <c r="AC202"/>
  <c r="AH291"/>
  <c r="W291"/>
  <c r="AI291" s="1"/>
  <c r="AC379"/>
  <c r="AR153"/>
  <c r="AC456"/>
  <c r="AC109"/>
  <c r="AC310"/>
  <c r="AC89"/>
  <c r="AC253"/>
  <c r="AC358"/>
  <c r="W288"/>
  <c r="AH288"/>
  <c r="T287"/>
  <c r="AC354"/>
  <c r="AC361"/>
  <c r="AC260"/>
  <c r="AH278"/>
  <c r="W278"/>
  <c r="T276"/>
  <c r="AH285"/>
  <c r="W285"/>
  <c r="X285" s="1"/>
  <c r="AH283"/>
  <c r="W283"/>
  <c r="AE283" s="1"/>
  <c r="T280"/>
  <c r="AE379"/>
  <c r="AE527"/>
  <c r="AE135"/>
  <c r="AE10"/>
  <c r="AE496"/>
  <c r="AE217"/>
  <c r="AE54"/>
  <c r="AE153"/>
  <c r="AE501"/>
  <c r="AE202"/>
  <c r="AE50"/>
  <c r="AE446"/>
  <c r="AE96"/>
  <c r="AE509"/>
  <c r="AE504"/>
  <c r="AE331"/>
  <c r="AD276"/>
  <c r="AR316"/>
  <c r="AE316"/>
  <c r="T80"/>
  <c r="AE389"/>
  <c r="T251"/>
  <c r="T169"/>
  <c r="AE170"/>
  <c r="AJ54"/>
  <c r="AE89"/>
  <c r="AD280"/>
  <c r="AD120"/>
  <c r="AJ354"/>
  <c r="AJ310"/>
  <c r="AJ350"/>
  <c r="AI268"/>
  <c r="AJ496"/>
  <c r="AJ106"/>
  <c r="AD106"/>
  <c r="AJ113"/>
  <c r="AD113"/>
  <c r="AJ256"/>
  <c r="AJ478"/>
  <c r="AJ487"/>
  <c r="AJ341"/>
  <c r="AJ364"/>
  <c r="AJ439"/>
  <c r="AJ109"/>
  <c r="AD109"/>
  <c r="AJ132"/>
  <c r="AJ511"/>
  <c r="AR389"/>
  <c r="AJ361"/>
  <c r="R530"/>
  <c r="S467"/>
  <c r="AI60"/>
  <c r="AI135"/>
  <c r="AI260"/>
  <c r="AI446"/>
  <c r="AL358"/>
  <c r="AL310"/>
  <c r="AI109"/>
  <c r="X109"/>
  <c r="Q303"/>
  <c r="Q530" s="1"/>
  <c r="AR341"/>
  <c r="AI89"/>
  <c r="X89"/>
  <c r="AR344"/>
  <c r="AJ501"/>
  <c r="AR82"/>
  <c r="AI232"/>
  <c r="AR221"/>
  <c r="AI527"/>
  <c r="AJ527"/>
  <c r="AR253"/>
  <c r="U305"/>
  <c r="AJ316"/>
  <c r="AH115"/>
  <c r="AK350"/>
  <c r="W143"/>
  <c r="AE143" s="1"/>
  <c r="AJ456"/>
  <c r="AJ60"/>
  <c r="AJ358"/>
  <c r="AJ253"/>
  <c r="AJ260"/>
  <c r="AJ379"/>
  <c r="AR120"/>
  <c r="X120"/>
  <c r="W438"/>
  <c r="AE438" s="1"/>
  <c r="AL364"/>
  <c r="AL347"/>
  <c r="AI106"/>
  <c r="X106"/>
  <c r="AI256"/>
  <c r="AJ504"/>
  <c r="AI72"/>
  <c r="AI10"/>
  <c r="AH105"/>
  <c r="AI47"/>
  <c r="AI214"/>
  <c r="AI331"/>
  <c r="AJ331"/>
  <c r="AJ232"/>
  <c r="AJ120"/>
  <c r="AJ442"/>
  <c r="AJ344"/>
  <c r="AJ202"/>
  <c r="AJ446"/>
  <c r="AL354"/>
  <c r="AI314"/>
  <c r="AI113"/>
  <c r="X113"/>
  <c r="AI439"/>
  <c r="AI217"/>
  <c r="AJ217"/>
  <c r="AI170"/>
  <c r="AJ170"/>
  <c r="AR268"/>
  <c r="AJ96"/>
  <c r="AI478"/>
  <c r="AR50"/>
  <c r="AI473"/>
  <c r="AI487"/>
  <c r="AI496"/>
  <c r="AR350"/>
  <c r="AJ509"/>
  <c r="AR132"/>
  <c r="AI511"/>
  <c r="AL389"/>
  <c r="AL361"/>
  <c r="AJ314"/>
  <c r="AJ389"/>
  <c r="AJ347"/>
  <c r="AJ268"/>
  <c r="AJ214"/>
  <c r="AJ153"/>
  <c r="AJ82"/>
  <c r="AJ50"/>
  <c r="AJ135"/>
  <c r="AJ473"/>
  <c r="AJ47"/>
  <c r="AJ221"/>
  <c r="AJ89"/>
  <c r="AJ72"/>
  <c r="AJ10"/>
  <c r="AK260"/>
  <c r="AK361"/>
  <c r="AI347"/>
  <c r="AR170"/>
  <c r="AR359"/>
  <c r="AK253"/>
  <c r="AI202"/>
  <c r="T45"/>
  <c r="T104"/>
  <c r="AR217"/>
  <c r="T305"/>
  <c r="AK364"/>
  <c r="AI153"/>
  <c r="AK341"/>
  <c r="AI253"/>
  <c r="AI350"/>
  <c r="AI310"/>
  <c r="AI361"/>
  <c r="AK354"/>
  <c r="AR509"/>
  <c r="AI509"/>
  <c r="AK314"/>
  <c r="AI364"/>
  <c r="AK256"/>
  <c r="AI341"/>
  <c r="AK358"/>
  <c r="AK344"/>
  <c r="AI221"/>
  <c r="AI354"/>
  <c r="U339"/>
  <c r="AI379"/>
  <c r="W91"/>
  <c r="AI96"/>
  <c r="S500"/>
  <c r="S498" s="1"/>
  <c r="AK268"/>
  <c r="AI120"/>
  <c r="W306"/>
  <c r="AE306" s="1"/>
  <c r="AI358"/>
  <c r="AI344"/>
  <c r="AI82"/>
  <c r="AI50"/>
  <c r="AK310"/>
  <c r="AK347"/>
  <c r="AR504"/>
  <c r="AI504"/>
  <c r="AL316"/>
  <c r="AI316"/>
  <c r="AK316"/>
  <c r="AR501"/>
  <c r="AI501"/>
  <c r="AI132"/>
  <c r="AL314"/>
  <c r="AI442"/>
  <c r="W448"/>
  <c r="AE448" s="1"/>
  <c r="AI456"/>
  <c r="AL331"/>
  <c r="AK331"/>
  <c r="AL379"/>
  <c r="AL341"/>
  <c r="S81"/>
  <c r="S80" s="1"/>
  <c r="S78" s="1"/>
  <c r="AL344"/>
  <c r="AL350"/>
  <c r="W378"/>
  <c r="AQ498"/>
  <c r="S46"/>
  <c r="S45" s="1"/>
  <c r="P251"/>
  <c r="P249" s="1"/>
  <c r="S249" s="1"/>
  <c r="S105"/>
  <c r="S104" s="1"/>
  <c r="S102" s="1"/>
  <c r="S213"/>
  <c r="S212" s="1"/>
  <c r="S210" s="1"/>
  <c r="AC213"/>
  <c r="W500"/>
  <c r="AR439"/>
  <c r="AR113"/>
  <c r="W469"/>
  <c r="AE469" s="1"/>
  <c r="AE223"/>
  <c r="W480"/>
  <c r="AE480" s="1"/>
  <c r="AR362"/>
  <c r="AR47"/>
  <c r="AR109"/>
  <c r="AR89"/>
  <c r="W81"/>
  <c r="AE81" s="1"/>
  <c r="AR353"/>
  <c r="AR356"/>
  <c r="AR478"/>
  <c r="W46"/>
  <c r="AE46" s="1"/>
  <c r="AQ480"/>
  <c r="W56"/>
  <c r="AE56" s="1"/>
  <c r="AR232"/>
  <c r="AR473"/>
  <c r="AR496"/>
  <c r="AQ496"/>
  <c r="AR347"/>
  <c r="AQ448"/>
  <c r="AQ435" s="1"/>
  <c r="AR72"/>
  <c r="AR511"/>
  <c r="AR527"/>
  <c r="AR446"/>
  <c r="AR256"/>
  <c r="W252"/>
  <c r="AE252" s="1"/>
  <c r="AR214"/>
  <c r="V128"/>
  <c r="AR331"/>
  <c r="AR135"/>
  <c r="O115"/>
  <c r="AR314"/>
  <c r="S9"/>
  <c r="S8" s="1"/>
  <c r="S6" s="1"/>
  <c r="T130"/>
  <c r="AR162"/>
  <c r="S437"/>
  <c r="S435" s="1"/>
  <c r="W105"/>
  <c r="AE105" s="1"/>
  <c r="S252"/>
  <c r="S251" s="1"/>
  <c r="AR106"/>
  <c r="AR310"/>
  <c r="W131"/>
  <c r="AE131" s="1"/>
  <c r="AR202"/>
  <c r="S305"/>
  <c r="S303" s="1"/>
  <c r="W262"/>
  <c r="AE262" s="1"/>
  <c r="AR96"/>
  <c r="W340"/>
  <c r="AC340" s="1"/>
  <c r="T437"/>
  <c r="AR487"/>
  <c r="P130"/>
  <c r="S130" s="1"/>
  <c r="S128" s="1"/>
  <c r="P212"/>
  <c r="AI143"/>
  <c r="T378"/>
  <c r="AR379"/>
  <c r="AR442"/>
  <c r="S131"/>
  <c r="AR260"/>
  <c r="T467"/>
  <c r="AR456"/>
  <c r="W115"/>
  <c r="AC115" s="1"/>
  <c r="AR60"/>
  <c r="S378"/>
  <c r="O105"/>
  <c r="R531"/>
  <c r="P43"/>
  <c r="AC91" l="1"/>
  <c r="W212"/>
  <c r="T78"/>
  <c r="AC500"/>
  <c r="AR169"/>
  <c r="AC378"/>
  <c r="AK291"/>
  <c r="AK277"/>
  <c r="W276"/>
  <c r="AJ276" s="1"/>
  <c r="AR277"/>
  <c r="AJ291"/>
  <c r="AC291"/>
  <c r="AE291"/>
  <c r="AR291"/>
  <c r="AE285"/>
  <c r="AC105"/>
  <c r="AE277"/>
  <c r="AJ277"/>
  <c r="AI295"/>
  <c r="W287"/>
  <c r="X288"/>
  <c r="AK288"/>
  <c r="AE288"/>
  <c r="AC288"/>
  <c r="AC285"/>
  <c r="AC283"/>
  <c r="AC469"/>
  <c r="AC143"/>
  <c r="AR295"/>
  <c r="AC131"/>
  <c r="AJ288"/>
  <c r="AC287"/>
  <c r="AC306"/>
  <c r="AC56"/>
  <c r="AC252"/>
  <c r="AK295"/>
  <c r="AC295"/>
  <c r="AC448"/>
  <c r="AI288"/>
  <c r="AC278"/>
  <c r="AC46"/>
  <c r="AJ169"/>
  <c r="AC169"/>
  <c r="AJ285"/>
  <c r="AC276"/>
  <c r="AR288"/>
  <c r="AC262"/>
  <c r="AC480"/>
  <c r="AI277"/>
  <c r="AC277"/>
  <c r="AC223"/>
  <c r="AE295"/>
  <c r="AC81"/>
  <c r="AC438"/>
  <c r="AK276"/>
  <c r="AR276"/>
  <c r="AI276"/>
  <c r="AR278"/>
  <c r="AJ278"/>
  <c r="AE278"/>
  <c r="AE276"/>
  <c r="AI278"/>
  <c r="AK278"/>
  <c r="AR283"/>
  <c r="AK283"/>
  <c r="AK285"/>
  <c r="AI285"/>
  <c r="AJ283"/>
  <c r="W280"/>
  <c r="X283"/>
  <c r="AI283"/>
  <c r="AR285"/>
  <c r="T6" i="9"/>
  <c r="AE91" i="4"/>
  <c r="AE213"/>
  <c r="AE169"/>
  <c r="AD115"/>
  <c r="AE500"/>
  <c r="AE340"/>
  <c r="W339"/>
  <c r="AC339" s="1"/>
  <c r="T303"/>
  <c r="AE212"/>
  <c r="AE378"/>
  <c r="AE115"/>
  <c r="T249"/>
  <c r="AJ469"/>
  <c r="AJ105"/>
  <c r="AD105"/>
  <c r="AJ46"/>
  <c r="AJ213"/>
  <c r="AJ448"/>
  <c r="AJ262"/>
  <c r="AJ480"/>
  <c r="AR438"/>
  <c r="AJ340"/>
  <c r="AJ143"/>
  <c r="AI438"/>
  <c r="AJ438"/>
  <c r="AJ378"/>
  <c r="AJ212"/>
  <c r="W80"/>
  <c r="AI80" s="1"/>
  <c r="AI115"/>
  <c r="X115"/>
  <c r="AI56"/>
  <c r="AI91"/>
  <c r="AJ91"/>
  <c r="AR223"/>
  <c r="AJ500"/>
  <c r="AJ81"/>
  <c r="AJ56"/>
  <c r="AJ223"/>
  <c r="AJ115"/>
  <c r="AI306"/>
  <c r="AH104"/>
  <c r="AR480"/>
  <c r="AK262"/>
  <c r="AI131"/>
  <c r="AI105"/>
  <c r="X105"/>
  <c r="AR252"/>
  <c r="AR46"/>
  <c r="AR306"/>
  <c r="AR469"/>
  <c r="AR213"/>
  <c r="W437"/>
  <c r="AE437" s="1"/>
  <c r="W305"/>
  <c r="AE305" s="1"/>
  <c r="AJ306"/>
  <c r="AJ252"/>
  <c r="AJ131"/>
  <c r="AI340"/>
  <c r="AK306"/>
  <c r="AI262"/>
  <c r="AI252"/>
  <c r="T102"/>
  <c r="AI213"/>
  <c r="T210"/>
  <c r="AI212"/>
  <c r="U303"/>
  <c r="AI469"/>
  <c r="AI46"/>
  <c r="AI81"/>
  <c r="AR91"/>
  <c r="AK340"/>
  <c r="AI480"/>
  <c r="T43"/>
  <c r="AI223"/>
  <c r="W498"/>
  <c r="AI500"/>
  <c r="T128"/>
  <c r="AK252"/>
  <c r="AL378"/>
  <c r="T376"/>
  <c r="AR448"/>
  <c r="AI448"/>
  <c r="AR500"/>
  <c r="O104"/>
  <c r="O102" s="1"/>
  <c r="AL340"/>
  <c r="AL306"/>
  <c r="AQ467"/>
  <c r="W467"/>
  <c r="AE467" s="1"/>
  <c r="AR105"/>
  <c r="AR81"/>
  <c r="W251"/>
  <c r="AR131"/>
  <c r="AR340"/>
  <c r="AR262"/>
  <c r="AR212"/>
  <c r="P128"/>
  <c r="P530" s="1"/>
  <c r="T435"/>
  <c r="AR378"/>
  <c r="AR143"/>
  <c r="W130"/>
  <c r="AE130" s="1"/>
  <c r="AR115"/>
  <c r="W104"/>
  <c r="AE104" s="1"/>
  <c r="AR56"/>
  <c r="W45"/>
  <c r="AE45" s="1"/>
  <c r="Q531"/>
  <c r="P531"/>
  <c r="S43"/>
  <c r="AC212" l="1"/>
  <c r="AE251"/>
  <c r="Z249"/>
  <c r="AC498"/>
  <c r="AK287"/>
  <c r="AJ287"/>
  <c r="AE287"/>
  <c r="AR287"/>
  <c r="AC305"/>
  <c r="AC251"/>
  <c r="AC45"/>
  <c r="AC437"/>
  <c r="AC467"/>
  <c r="AC104"/>
  <c r="AC80"/>
  <c r="AC130"/>
  <c r="AC280"/>
  <c r="AR339"/>
  <c r="AJ339"/>
  <c r="AE339"/>
  <c r="AL339"/>
  <c r="AJ280"/>
  <c r="AR280"/>
  <c r="AE280"/>
  <c r="AK280"/>
  <c r="AE498"/>
  <c r="AE80"/>
  <c r="AR80"/>
  <c r="AJ104"/>
  <c r="AD104"/>
  <c r="AR437"/>
  <c r="AJ130"/>
  <c r="AJ305"/>
  <c r="AK305"/>
  <c r="AI45"/>
  <c r="AI251"/>
  <c r="AJ45"/>
  <c r="AK339"/>
  <c r="AI437"/>
  <c r="AI498"/>
  <c r="AJ498"/>
  <c r="AI339"/>
  <c r="AH102"/>
  <c r="AI305"/>
  <c r="AJ437"/>
  <c r="W78"/>
  <c r="AC78" s="1"/>
  <c r="AJ80"/>
  <c r="W128"/>
  <c r="AE128" s="1"/>
  <c r="AJ251"/>
  <c r="X104"/>
  <c r="AR467"/>
  <c r="W435"/>
  <c r="AE435" s="1"/>
  <c r="AJ467"/>
  <c r="AR498"/>
  <c r="AI104"/>
  <c r="AI467"/>
  <c r="AI130"/>
  <c r="AR251"/>
  <c r="W249"/>
  <c r="AE249" s="1"/>
  <c r="AK251"/>
  <c r="W303"/>
  <c r="AR305"/>
  <c r="AL305"/>
  <c r="S531"/>
  <c r="AR45"/>
  <c r="AR130"/>
  <c r="W102"/>
  <c r="AD102" s="1"/>
  <c r="AR104"/>
  <c r="S376"/>
  <c r="S530" s="1"/>
  <c r="AC303" l="1"/>
  <c r="AC128"/>
  <c r="AC435"/>
  <c r="AC102"/>
  <c r="AC249"/>
  <c r="AE303"/>
  <c r="W43"/>
  <c r="AE78"/>
  <c r="AE102"/>
  <c r="AI128"/>
  <c r="AJ128"/>
  <c r="AR102"/>
  <c r="X102"/>
  <c r="AK249"/>
  <c r="AR435"/>
  <c r="AR78"/>
  <c r="AI78"/>
  <c r="AJ78"/>
  <c r="AI303"/>
  <c r="AJ249"/>
  <c r="AJ102"/>
  <c r="AJ435"/>
  <c r="AJ303"/>
  <c r="AI102"/>
  <c r="AR249"/>
  <c r="AI249"/>
  <c r="AK303"/>
  <c r="AL303"/>
  <c r="AR303"/>
  <c r="AR128"/>
  <c r="I62" i="8"/>
  <c r="I61"/>
  <c r="I60"/>
  <c r="I59"/>
  <c r="I58"/>
  <c r="H57"/>
  <c r="G57"/>
  <c r="I56"/>
  <c r="I55"/>
  <c r="I54"/>
  <c r="I53"/>
  <c r="I52"/>
  <c r="I51"/>
  <c r="H50"/>
  <c r="G50"/>
  <c r="I49"/>
  <c r="I48"/>
  <c r="I47"/>
  <c r="I46"/>
  <c r="I45"/>
  <c r="I44"/>
  <c r="I43"/>
  <c r="H42"/>
  <c r="G42"/>
  <c r="I41"/>
  <c r="I40"/>
  <c r="I39"/>
  <c r="I38"/>
  <c r="I37"/>
  <c r="I36"/>
  <c r="H35"/>
  <c r="G35"/>
  <c r="I34"/>
  <c r="I33"/>
  <c r="I32"/>
  <c r="I31"/>
  <c r="I30"/>
  <c r="I29"/>
  <c r="H28"/>
  <c r="G28"/>
  <c r="I27"/>
  <c r="I26"/>
  <c r="I25"/>
  <c r="I24"/>
  <c r="I23"/>
  <c r="I22"/>
  <c r="H21"/>
  <c r="G21"/>
  <c r="I20"/>
  <c r="I19"/>
  <c r="I18"/>
  <c r="I17"/>
  <c r="I16"/>
  <c r="I15"/>
  <c r="I14"/>
  <c r="H13"/>
  <c r="G13"/>
  <c r="I12"/>
  <c r="I11"/>
  <c r="I10"/>
  <c r="I9"/>
  <c r="I8"/>
  <c r="I7"/>
  <c r="I6"/>
  <c r="I5"/>
  <c r="H4"/>
  <c r="G4"/>
  <c r="D4"/>
  <c r="E4"/>
  <c r="D13"/>
  <c r="E13"/>
  <c r="D21"/>
  <c r="E21"/>
  <c r="D28"/>
  <c r="E28"/>
  <c r="D35"/>
  <c r="E35"/>
  <c r="D42"/>
  <c r="E42"/>
  <c r="D50"/>
  <c r="E50"/>
  <c r="D57"/>
  <c r="E57"/>
  <c r="M29" i="15"/>
  <c r="M28"/>
  <c r="M27"/>
  <c r="M26"/>
  <c r="M25"/>
  <c r="M6" s="1"/>
  <c r="M5" s="1"/>
  <c r="Y527" i="4" s="1"/>
  <c r="L5" i="15"/>
  <c r="P11" i="26"/>
  <c r="R11" s="1"/>
  <c r="P10"/>
  <c r="R10" s="1"/>
  <c r="P9"/>
  <c r="R9" s="1"/>
  <c r="P8"/>
  <c r="J22" i="25"/>
  <c r="J21"/>
  <c r="J20"/>
  <c r="I19"/>
  <c r="J18"/>
  <c r="J17"/>
  <c r="I16"/>
  <c r="H16"/>
  <c r="H5" s="1"/>
  <c r="J15"/>
  <c r="J14"/>
  <c r="J13"/>
  <c r="J12"/>
  <c r="J11"/>
  <c r="J10"/>
  <c r="J9"/>
  <c r="J8"/>
  <c r="J7"/>
  <c r="J6"/>
  <c r="J74" i="22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H5"/>
  <c r="L12" i="34"/>
  <c r="L11"/>
  <c r="L10"/>
  <c r="J8"/>
  <c r="L8" s="1"/>
  <c r="L7"/>
  <c r="K6"/>
  <c r="K5" s="1"/>
  <c r="J6"/>
  <c r="J5" s="1"/>
  <c r="K167" i="21"/>
  <c r="K166"/>
  <c r="K165"/>
  <c r="K164"/>
  <c r="K163"/>
  <c r="J162"/>
  <c r="J168" s="1"/>
  <c r="I162"/>
  <c r="K160"/>
  <c r="K154"/>
  <c r="J153"/>
  <c r="I153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J120"/>
  <c r="M125" s="1"/>
  <c r="I120"/>
  <c r="K118"/>
  <c r="K117"/>
  <c r="K116"/>
  <c r="K115"/>
  <c r="K114"/>
  <c r="K113"/>
  <c r="K112"/>
  <c r="K111"/>
  <c r="K110"/>
  <c r="K109"/>
  <c r="K108"/>
  <c r="K107"/>
  <c r="K106"/>
  <c r="K105"/>
  <c r="I91"/>
  <c r="K89"/>
  <c r="K88"/>
  <c r="K87"/>
  <c r="K86"/>
  <c r="K85"/>
  <c r="K84"/>
  <c r="K83"/>
  <c r="K82"/>
  <c r="K81"/>
  <c r="K80"/>
  <c r="J79"/>
  <c r="I79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I52"/>
  <c r="K49"/>
  <c r="K48"/>
  <c r="K47"/>
  <c r="K46"/>
  <c r="K45"/>
  <c r="K44"/>
  <c r="K43"/>
  <c r="K42"/>
  <c r="K41"/>
  <c r="K40"/>
  <c r="K39"/>
  <c r="K38"/>
  <c r="K37"/>
  <c r="K36"/>
  <c r="K35"/>
  <c r="K34"/>
  <c r="I32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M10"/>
  <c r="I6"/>
  <c r="K91" l="1"/>
  <c r="I5" i="25"/>
  <c r="R8" i="26"/>
  <c r="P6"/>
  <c r="Z429" i="4" s="1"/>
  <c r="AC43"/>
  <c r="K6" i="21"/>
  <c r="K32"/>
  <c r="AE43" i="4"/>
  <c r="AJ43"/>
  <c r="AI43"/>
  <c r="N7" i="15"/>
  <c r="N8" s="1"/>
  <c r="J19" i="25"/>
  <c r="K162" i="21"/>
  <c r="L6" i="34"/>
  <c r="L5" s="1"/>
  <c r="J16" i="25"/>
  <c r="K79" i="21"/>
  <c r="J5" i="22"/>
  <c r="J5" i="21"/>
  <c r="I21" i="8"/>
  <c r="I57"/>
  <c r="I50"/>
  <c r="I42"/>
  <c r="I35"/>
  <c r="G3"/>
  <c r="I28"/>
  <c r="I13"/>
  <c r="I4"/>
  <c r="H3"/>
  <c r="E3"/>
  <c r="D3"/>
  <c r="K153" i="21"/>
  <c r="K120"/>
  <c r="K52"/>
  <c r="I5"/>
  <c r="J5" i="25" l="1"/>
  <c r="K5" i="21"/>
  <c r="I3" i="8"/>
  <c r="P19" i="12"/>
  <c r="P18"/>
  <c r="P17"/>
  <c r="P16"/>
  <c r="P15"/>
  <c r="P14"/>
  <c r="P13"/>
  <c r="P12"/>
  <c r="P11"/>
  <c r="P10"/>
  <c r="P9"/>
  <c r="P8"/>
  <c r="P7"/>
  <c r="O6"/>
  <c r="N6"/>
  <c r="N531" i="4"/>
  <c r="M531"/>
  <c r="O529"/>
  <c r="AD529" s="1"/>
  <c r="O528"/>
  <c r="N527"/>
  <c r="M527"/>
  <c r="L527"/>
  <c r="AH527" s="1"/>
  <c r="O526"/>
  <c r="O525"/>
  <c r="O524"/>
  <c r="O523"/>
  <c r="O522"/>
  <c r="O521"/>
  <c r="O520"/>
  <c r="N518"/>
  <c r="N511" s="1"/>
  <c r="M518"/>
  <c r="M511" s="1"/>
  <c r="L518"/>
  <c r="O517"/>
  <c r="O516"/>
  <c r="O515"/>
  <c r="O514"/>
  <c r="O513"/>
  <c r="O512"/>
  <c r="O510"/>
  <c r="N509"/>
  <c r="M509"/>
  <c r="L509"/>
  <c r="AH509" s="1"/>
  <c r="O508"/>
  <c r="O507"/>
  <c r="O506"/>
  <c r="O505"/>
  <c r="N504"/>
  <c r="M504"/>
  <c r="L504"/>
  <c r="AH504" s="1"/>
  <c r="O501"/>
  <c r="N501"/>
  <c r="N500" s="1"/>
  <c r="M501"/>
  <c r="M500" s="1"/>
  <c r="L501"/>
  <c r="N496"/>
  <c r="M496"/>
  <c r="L496"/>
  <c r="AH496" s="1"/>
  <c r="O495"/>
  <c r="O494"/>
  <c r="O493"/>
  <c r="O492"/>
  <c r="O491"/>
  <c r="O490"/>
  <c r="O489"/>
  <c r="O488"/>
  <c r="N487"/>
  <c r="M487"/>
  <c r="L487"/>
  <c r="O486"/>
  <c r="O485"/>
  <c r="O484"/>
  <c r="O483"/>
  <c r="O482"/>
  <c r="O481"/>
  <c r="O479"/>
  <c r="L478"/>
  <c r="AH478" s="1"/>
  <c r="O477"/>
  <c r="O476"/>
  <c r="O475"/>
  <c r="O474"/>
  <c r="L473"/>
  <c r="AH473" s="1"/>
  <c r="L470"/>
  <c r="AH470" s="1"/>
  <c r="N467"/>
  <c r="M467"/>
  <c r="N465"/>
  <c r="M465"/>
  <c r="L465"/>
  <c r="AH465" s="1"/>
  <c r="O464"/>
  <c r="O463"/>
  <c r="O462"/>
  <c r="O461"/>
  <c r="O460"/>
  <c r="O459"/>
  <c r="O458"/>
  <c r="O457"/>
  <c r="N456"/>
  <c r="N448" s="1"/>
  <c r="M456"/>
  <c r="M448" s="1"/>
  <c r="L456"/>
  <c r="O455"/>
  <c r="O454"/>
  <c r="O453"/>
  <c r="O452"/>
  <c r="O451"/>
  <c r="O450"/>
  <c r="O449"/>
  <c r="O447"/>
  <c r="N446"/>
  <c r="M446"/>
  <c r="L446"/>
  <c r="AH446" s="1"/>
  <c r="O445"/>
  <c r="O444"/>
  <c r="O443"/>
  <c r="N442"/>
  <c r="M442"/>
  <c r="L442"/>
  <c r="AH442" s="1"/>
  <c r="O441"/>
  <c r="O440"/>
  <c r="L439"/>
  <c r="N438"/>
  <c r="M438"/>
  <c r="N435"/>
  <c r="M435"/>
  <c r="O434"/>
  <c r="O433"/>
  <c r="AD433" s="1"/>
  <c r="O432"/>
  <c r="O431"/>
  <c r="O430"/>
  <c r="N429"/>
  <c r="M429"/>
  <c r="L429"/>
  <c r="AH429" s="1"/>
  <c r="O428"/>
  <c r="O427"/>
  <c r="N426"/>
  <c r="M426"/>
  <c r="L426"/>
  <c r="AH426" s="1"/>
  <c r="O425"/>
  <c r="O424"/>
  <c r="O423"/>
  <c r="O422"/>
  <c r="O421"/>
  <c r="O420"/>
  <c r="O419"/>
  <c r="O418"/>
  <c r="AD418" s="1"/>
  <c r="O417"/>
  <c r="AD417" s="1"/>
  <c r="O416"/>
  <c r="O415"/>
  <c r="AD415" s="1"/>
  <c r="O414"/>
  <c r="O413"/>
  <c r="O412"/>
  <c r="O411"/>
  <c r="O410"/>
  <c r="N409"/>
  <c r="M409"/>
  <c r="L409"/>
  <c r="AH409" s="1"/>
  <c r="O408"/>
  <c r="O407"/>
  <c r="O406"/>
  <c r="O405"/>
  <c r="O404"/>
  <c r="N403"/>
  <c r="N400" s="1"/>
  <c r="O402"/>
  <c r="O401"/>
  <c r="M400"/>
  <c r="L400"/>
  <c r="AH400" s="1"/>
  <c r="O399"/>
  <c r="O398"/>
  <c r="O397"/>
  <c r="O396"/>
  <c r="N395"/>
  <c r="N389" s="1"/>
  <c r="M395"/>
  <c r="M389" s="1"/>
  <c r="L395"/>
  <c r="O394"/>
  <c r="O393"/>
  <c r="O392"/>
  <c r="O391"/>
  <c r="O390"/>
  <c r="O388"/>
  <c r="N387"/>
  <c r="M387"/>
  <c r="L387"/>
  <c r="AH387" s="1"/>
  <c r="O386"/>
  <c r="O385"/>
  <c r="O384"/>
  <c r="N383"/>
  <c r="M383"/>
  <c r="L383"/>
  <c r="AH383" s="1"/>
  <c r="O382"/>
  <c r="N380"/>
  <c r="N379" s="1"/>
  <c r="M380"/>
  <c r="M379" s="1"/>
  <c r="L380"/>
  <c r="AH380" s="1"/>
  <c r="O375"/>
  <c r="N374"/>
  <c r="M374"/>
  <c r="L374"/>
  <c r="AH374" s="1"/>
  <c r="O373"/>
  <c r="O372"/>
  <c r="O371"/>
  <c r="O370"/>
  <c r="O369"/>
  <c r="O368"/>
  <c r="O367"/>
  <c r="O366"/>
  <c r="O365"/>
  <c r="N364"/>
  <c r="M364"/>
  <c r="O364" s="1"/>
  <c r="L364"/>
  <c r="AH364" s="1"/>
  <c r="O363"/>
  <c r="O362"/>
  <c r="N361"/>
  <c r="M361"/>
  <c r="L361"/>
  <c r="AH361" s="1"/>
  <c r="O360"/>
  <c r="O359"/>
  <c r="N358"/>
  <c r="M358"/>
  <c r="L358"/>
  <c r="AH358" s="1"/>
  <c r="O357"/>
  <c r="O356"/>
  <c r="O355"/>
  <c r="N354"/>
  <c r="M354"/>
  <c r="L354"/>
  <c r="AH354" s="1"/>
  <c r="O353"/>
  <c r="O352"/>
  <c r="O351"/>
  <c r="N350"/>
  <c r="M350"/>
  <c r="L350"/>
  <c r="AH350" s="1"/>
  <c r="O349"/>
  <c r="O348"/>
  <c r="O347"/>
  <c r="N347"/>
  <c r="L347"/>
  <c r="AH347" s="1"/>
  <c r="O346"/>
  <c r="O345"/>
  <c r="N344"/>
  <c r="L344"/>
  <c r="AH344" s="1"/>
  <c r="O343"/>
  <c r="O342"/>
  <c r="N341"/>
  <c r="L341"/>
  <c r="AH341" s="1"/>
  <c r="O338"/>
  <c r="O337"/>
  <c r="O336"/>
  <c r="O335"/>
  <c r="O334"/>
  <c r="N331"/>
  <c r="M331"/>
  <c r="L331"/>
  <c r="AH331" s="1"/>
  <c r="O330"/>
  <c r="O329"/>
  <c r="O328"/>
  <c r="O327"/>
  <c r="O326"/>
  <c r="O325"/>
  <c r="O324"/>
  <c r="O323"/>
  <c r="N322"/>
  <c r="N316" s="1"/>
  <c r="M322"/>
  <c r="M316" s="1"/>
  <c r="L322"/>
  <c r="O321"/>
  <c r="O320"/>
  <c r="O319"/>
  <c r="O318"/>
  <c r="O315"/>
  <c r="N314"/>
  <c r="M314"/>
  <c r="L314"/>
  <c r="AH314" s="1"/>
  <c r="O312"/>
  <c r="O311"/>
  <c r="N310"/>
  <c r="M310"/>
  <c r="L310"/>
  <c r="AH310" s="1"/>
  <c r="O309"/>
  <c r="N307"/>
  <c r="M307"/>
  <c r="L307"/>
  <c r="AH307" s="1"/>
  <c r="O302"/>
  <c r="N300"/>
  <c r="M300"/>
  <c r="L300"/>
  <c r="AH300" s="1"/>
  <c r="O299"/>
  <c r="O298"/>
  <c r="O297"/>
  <c r="O296"/>
  <c r="O295"/>
  <c r="O294"/>
  <c r="O293"/>
  <c r="O292"/>
  <c r="O291"/>
  <c r="O290"/>
  <c r="O289"/>
  <c r="N287"/>
  <c r="M287"/>
  <c r="L287"/>
  <c r="AH287" s="1"/>
  <c r="AI287" s="1"/>
  <c r="N280"/>
  <c r="O279"/>
  <c r="O278"/>
  <c r="N276"/>
  <c r="L276"/>
  <c r="AH276" s="1"/>
  <c r="O268"/>
  <c r="N268"/>
  <c r="N262" s="1"/>
  <c r="M268"/>
  <c r="M262" s="1"/>
  <c r="L268"/>
  <c r="O261"/>
  <c r="N260"/>
  <c r="M260"/>
  <c r="L260"/>
  <c r="AH260" s="1"/>
  <c r="O259"/>
  <c r="O258"/>
  <c r="O257"/>
  <c r="N256"/>
  <c r="M256"/>
  <c r="L256"/>
  <c r="AH256" s="1"/>
  <c r="O255"/>
  <c r="O254"/>
  <c r="N253"/>
  <c r="M253"/>
  <c r="L253"/>
  <c r="AH253" s="1"/>
  <c r="O248"/>
  <c r="O247"/>
  <c r="O246"/>
  <c r="O245"/>
  <c r="O244"/>
  <c r="O243"/>
  <c r="AD243" s="1"/>
  <c r="O242"/>
  <c r="O241"/>
  <c r="O240"/>
  <c r="O239"/>
  <c r="O238"/>
  <c r="O237"/>
  <c r="O236"/>
  <c r="O235"/>
  <c r="O234"/>
  <c r="O233"/>
  <c r="N232"/>
  <c r="N223" s="1"/>
  <c r="M232"/>
  <c r="M223" s="1"/>
  <c r="L232"/>
  <c r="O231"/>
  <c r="O230"/>
  <c r="O229"/>
  <c r="O228"/>
  <c r="O227"/>
  <c r="O226"/>
  <c r="O225"/>
  <c r="O224"/>
  <c r="O222"/>
  <c r="N221"/>
  <c r="M221"/>
  <c r="L221"/>
  <c r="AH221" s="1"/>
  <c r="O220"/>
  <c r="O219"/>
  <c r="O218"/>
  <c r="N217"/>
  <c r="M217"/>
  <c r="L217"/>
  <c r="AH217" s="1"/>
  <c r="O216"/>
  <c r="O215"/>
  <c r="N214"/>
  <c r="M214"/>
  <c r="L214"/>
  <c r="AH214" s="1"/>
  <c r="M210"/>
  <c r="O208"/>
  <c r="O207"/>
  <c r="O206"/>
  <c r="O205"/>
  <c r="AD205" s="1"/>
  <c r="O204"/>
  <c r="N202"/>
  <c r="M202"/>
  <c r="L202"/>
  <c r="AH202" s="1"/>
  <c r="O201"/>
  <c r="O200"/>
  <c r="O199"/>
  <c r="O198"/>
  <c r="O197"/>
  <c r="O196"/>
  <c r="O195"/>
  <c r="O194"/>
  <c r="O193"/>
  <c r="O192"/>
  <c r="O191"/>
  <c r="O190"/>
  <c r="AD190" s="1"/>
  <c r="O189"/>
  <c r="O188"/>
  <c r="O187"/>
  <c r="O186"/>
  <c r="N185"/>
  <c r="N170" s="1"/>
  <c r="L185"/>
  <c r="AH185" s="1"/>
  <c r="O184"/>
  <c r="O183"/>
  <c r="O182"/>
  <c r="O181"/>
  <c r="O180"/>
  <c r="O179"/>
  <c r="O178"/>
  <c r="O177"/>
  <c r="O176"/>
  <c r="O175"/>
  <c r="O174"/>
  <c r="O173"/>
  <c r="O172"/>
  <c r="O171"/>
  <c r="M170"/>
  <c r="L170"/>
  <c r="AH170" s="1"/>
  <c r="O168"/>
  <c r="O167"/>
  <c r="O166"/>
  <c r="O165"/>
  <c r="O163"/>
  <c r="N162"/>
  <c r="M162"/>
  <c r="L162"/>
  <c r="AH162" s="1"/>
  <c r="O160"/>
  <c r="O159"/>
  <c r="O158"/>
  <c r="O157"/>
  <c r="O156"/>
  <c r="O155"/>
  <c r="O154"/>
  <c r="N153"/>
  <c r="N143" s="1"/>
  <c r="M153"/>
  <c r="M143" s="1"/>
  <c r="L153"/>
  <c r="O152"/>
  <c r="O151"/>
  <c r="O150"/>
  <c r="O149"/>
  <c r="O148"/>
  <c r="O147"/>
  <c r="O146"/>
  <c r="O145"/>
  <c r="O144"/>
  <c r="O142"/>
  <c r="N141"/>
  <c r="M141"/>
  <c r="L141"/>
  <c r="AH141" s="1"/>
  <c r="O140"/>
  <c r="O139"/>
  <c r="O138"/>
  <c r="O137"/>
  <c r="O136"/>
  <c r="L135"/>
  <c r="AH135" s="1"/>
  <c r="O134"/>
  <c r="O133"/>
  <c r="N132"/>
  <c r="N131" s="1"/>
  <c r="M132"/>
  <c r="M131" s="1"/>
  <c r="L132"/>
  <c r="AH132" s="1"/>
  <c r="O101"/>
  <c r="O100"/>
  <c r="O98"/>
  <c r="O97"/>
  <c r="N96"/>
  <c r="N91" s="1"/>
  <c r="N78" s="1"/>
  <c r="M96"/>
  <c r="M91" s="1"/>
  <c r="M78" s="1"/>
  <c r="L96"/>
  <c r="O95"/>
  <c r="O94"/>
  <c r="O93"/>
  <c r="O92"/>
  <c r="O90"/>
  <c r="O88"/>
  <c r="O87"/>
  <c r="O86"/>
  <c r="N85"/>
  <c r="M85"/>
  <c r="L85"/>
  <c r="AH85" s="1"/>
  <c r="O84"/>
  <c r="O83"/>
  <c r="N82"/>
  <c r="N81" s="1"/>
  <c r="M82"/>
  <c r="M81" s="1"/>
  <c r="L82"/>
  <c r="AH82" s="1"/>
  <c r="O77"/>
  <c r="O75"/>
  <c r="O74"/>
  <c r="O73"/>
  <c r="N72"/>
  <c r="M72"/>
  <c r="L72"/>
  <c r="AH72" s="1"/>
  <c r="O71"/>
  <c r="O70"/>
  <c r="O69"/>
  <c r="O68"/>
  <c r="O67"/>
  <c r="O66"/>
  <c r="O65"/>
  <c r="O64"/>
  <c r="O63"/>
  <c r="O62"/>
  <c r="O61"/>
  <c r="N60"/>
  <c r="N56" s="1"/>
  <c r="M60"/>
  <c r="M56" s="1"/>
  <c r="L60"/>
  <c r="O59"/>
  <c r="O58"/>
  <c r="O57"/>
  <c r="O55"/>
  <c r="N54"/>
  <c r="M54"/>
  <c r="L54"/>
  <c r="AH54" s="1"/>
  <c r="O53"/>
  <c r="O52"/>
  <c r="O51"/>
  <c r="N50"/>
  <c r="M50"/>
  <c r="L50"/>
  <c r="AH50" s="1"/>
  <c r="O49"/>
  <c r="O48"/>
  <c r="N47"/>
  <c r="M47"/>
  <c r="L47"/>
  <c r="AH47" s="1"/>
  <c r="O42"/>
  <c r="O41"/>
  <c r="O40"/>
  <c r="O39"/>
  <c r="O38"/>
  <c r="L37"/>
  <c r="O36"/>
  <c r="O35"/>
  <c r="O34"/>
  <c r="O33"/>
  <c r="O32"/>
  <c r="O31"/>
  <c r="O30"/>
  <c r="O29"/>
  <c r="O28"/>
  <c r="O27"/>
  <c r="N26"/>
  <c r="N19" s="1"/>
  <c r="M26"/>
  <c r="M19" s="1"/>
  <c r="L26"/>
  <c r="L19" s="1"/>
  <c r="O25"/>
  <c r="O24"/>
  <c r="O23"/>
  <c r="O22"/>
  <c r="O21"/>
  <c r="O20"/>
  <c r="O18"/>
  <c r="N17"/>
  <c r="M17"/>
  <c r="L17"/>
  <c r="AH17" s="1"/>
  <c r="O16"/>
  <c r="O15"/>
  <c r="O14"/>
  <c r="L13"/>
  <c r="AH13" s="1"/>
  <c r="O12"/>
  <c r="O11"/>
  <c r="N10"/>
  <c r="N9" s="1"/>
  <c r="M10"/>
  <c r="M9" s="1"/>
  <c r="L10"/>
  <c r="AH10" s="1"/>
  <c r="O44" i="3"/>
  <c r="O43"/>
  <c r="G29" i="16" s="1"/>
  <c r="O42" i="3"/>
  <c r="N41"/>
  <c r="L41"/>
  <c r="O39"/>
  <c r="O37"/>
  <c r="O36"/>
  <c r="G25" i="16" s="1"/>
  <c r="O34" i="3"/>
  <c r="O32"/>
  <c r="O31"/>
  <c r="O29"/>
  <c r="N27"/>
  <c r="N12"/>
  <c r="M12"/>
  <c r="N10"/>
  <c r="M10"/>
  <c r="N7"/>
  <c r="M7"/>
  <c r="W60" i="39"/>
  <c r="W59"/>
  <c r="W58"/>
  <c r="W57"/>
  <c r="W56"/>
  <c r="U55"/>
  <c r="W54"/>
  <c r="W53"/>
  <c r="W52"/>
  <c r="W51"/>
  <c r="W50"/>
  <c r="W49"/>
  <c r="W48"/>
  <c r="U47"/>
  <c r="W45"/>
  <c r="W44"/>
  <c r="W43"/>
  <c r="W42"/>
  <c r="W41"/>
  <c r="W38"/>
  <c r="W37"/>
  <c r="W36"/>
  <c r="W35"/>
  <c r="W34"/>
  <c r="W33"/>
  <c r="W32"/>
  <c r="W30"/>
  <c r="W29"/>
  <c r="W28"/>
  <c r="W27"/>
  <c r="W26"/>
  <c r="W25"/>
  <c r="W24"/>
  <c r="W23"/>
  <c r="W22"/>
  <c r="W21"/>
  <c r="W20"/>
  <c r="U19"/>
  <c r="W18"/>
  <c r="W17"/>
  <c r="W16"/>
  <c r="W15"/>
  <c r="W14"/>
  <c r="W13"/>
  <c r="Z12"/>
  <c r="U12"/>
  <c r="W11"/>
  <c r="W10"/>
  <c r="W9"/>
  <c r="W8"/>
  <c r="W7"/>
  <c r="U6"/>
  <c r="U5" s="1"/>
  <c r="Y156" i="37"/>
  <c r="Z154"/>
  <c r="AD154" s="1"/>
  <c r="Z153"/>
  <c r="AD153" s="1"/>
  <c r="Z152"/>
  <c r="AD152" s="1"/>
  <c r="Z151"/>
  <c r="AD151" s="1"/>
  <c r="Z150"/>
  <c r="AD150" s="1"/>
  <c r="Z149"/>
  <c r="AD149" s="1"/>
  <c r="Z148"/>
  <c r="AD148" s="1"/>
  <c r="Z147"/>
  <c r="AD147" s="1"/>
  <c r="W144"/>
  <c r="Z145"/>
  <c r="AD145" s="1"/>
  <c r="X144"/>
  <c r="Z143"/>
  <c r="AD143" s="1"/>
  <c r="Z142"/>
  <c r="AD142" s="1"/>
  <c r="W130"/>
  <c r="Z140"/>
  <c r="AD140" s="1"/>
  <c r="Z139"/>
  <c r="AD139" s="1"/>
  <c r="Z138"/>
  <c r="AD138" s="1"/>
  <c r="Z137"/>
  <c r="AD137" s="1"/>
  <c r="Z136"/>
  <c r="AD136" s="1"/>
  <c r="Z135"/>
  <c r="AD135" s="1"/>
  <c r="Z134"/>
  <c r="AD134" s="1"/>
  <c r="Z133"/>
  <c r="AD133" s="1"/>
  <c r="Z132"/>
  <c r="AD132" s="1"/>
  <c r="Z131"/>
  <c r="AD131" s="1"/>
  <c r="X130"/>
  <c r="Z129"/>
  <c r="AD129" s="1"/>
  <c r="Y128"/>
  <c r="X128"/>
  <c r="W128"/>
  <c r="Z127"/>
  <c r="AD127" s="1"/>
  <c r="Z126"/>
  <c r="AD126" s="1"/>
  <c r="Z125"/>
  <c r="AD125" s="1"/>
  <c r="Y123"/>
  <c r="X123"/>
  <c r="Z122"/>
  <c r="AD122" s="1"/>
  <c r="Z121"/>
  <c r="AD121" s="1"/>
  <c r="Z119"/>
  <c r="AD119" s="1"/>
  <c r="Z118"/>
  <c r="AD118" s="1"/>
  <c r="Z117"/>
  <c r="AD117" s="1"/>
  <c r="Y116"/>
  <c r="X116"/>
  <c r="Z115"/>
  <c r="AD115" s="1"/>
  <c r="Z114"/>
  <c r="AD114" s="1"/>
  <c r="Y113"/>
  <c r="X113"/>
  <c r="W113"/>
  <c r="Z112"/>
  <c r="AD112" s="1"/>
  <c r="Z111"/>
  <c r="AD111" s="1"/>
  <c r="Z110"/>
  <c r="AD110" s="1"/>
  <c r="Z109"/>
  <c r="AD109" s="1"/>
  <c r="Z108"/>
  <c r="AD108" s="1"/>
  <c r="Y107"/>
  <c r="X107"/>
  <c r="W107"/>
  <c r="Z106"/>
  <c r="AD106" s="1"/>
  <c r="Z105"/>
  <c r="AD105" s="1"/>
  <c r="Z104"/>
  <c r="AD104" s="1"/>
  <c r="Z103"/>
  <c r="AD103" s="1"/>
  <c r="Y102"/>
  <c r="Z101"/>
  <c r="AD101" s="1"/>
  <c r="Z100"/>
  <c r="AD100" s="1"/>
  <c r="Z99"/>
  <c r="AD99" s="1"/>
  <c r="Z98"/>
  <c r="AD98" s="1"/>
  <c r="Z97"/>
  <c r="AD97" s="1"/>
  <c r="Z96"/>
  <c r="AD96" s="1"/>
  <c r="Z95"/>
  <c r="AD95" s="1"/>
  <c r="Z94"/>
  <c r="AD94" s="1"/>
  <c r="Z93"/>
  <c r="AD93" s="1"/>
  <c r="Z92"/>
  <c r="AD92" s="1"/>
  <c r="Z91"/>
  <c r="AD91" s="1"/>
  <c r="Z90"/>
  <c r="AD90" s="1"/>
  <c r="Z89"/>
  <c r="AD89" s="1"/>
  <c r="Z88"/>
  <c r="AD88" s="1"/>
  <c r="W85"/>
  <c r="Z86"/>
  <c r="AD86" s="1"/>
  <c r="Y85"/>
  <c r="Z84"/>
  <c r="AD84" s="1"/>
  <c r="Z83"/>
  <c r="AD83" s="1"/>
  <c r="Z82"/>
  <c r="AD82" s="1"/>
  <c r="Z81"/>
  <c r="AD81" s="1"/>
  <c r="Y80"/>
  <c r="X80"/>
  <c r="Z79"/>
  <c r="AD79" s="1"/>
  <c r="W78"/>
  <c r="Z76"/>
  <c r="AD76" s="1"/>
  <c r="Z75"/>
  <c r="AD75" s="1"/>
  <c r="Z74"/>
  <c r="AD74" s="1"/>
  <c r="Z73"/>
  <c r="AD73" s="1"/>
  <c r="Z72"/>
  <c r="AD72" s="1"/>
  <c r="Z71"/>
  <c r="AD71" s="1"/>
  <c r="Z70"/>
  <c r="AD70" s="1"/>
  <c r="Z69"/>
  <c r="AD69" s="1"/>
  <c r="Z68"/>
  <c r="AD68" s="1"/>
  <c r="Z67"/>
  <c r="AD67" s="1"/>
  <c r="Z66"/>
  <c r="AD66" s="1"/>
  <c r="Z65"/>
  <c r="AD65" s="1"/>
  <c r="Z64"/>
  <c r="AD64" s="1"/>
  <c r="Z63"/>
  <c r="AD63" s="1"/>
  <c r="Y62"/>
  <c r="Z61"/>
  <c r="AD61" s="1"/>
  <c r="Z60"/>
  <c r="AD60" s="1"/>
  <c r="Y59"/>
  <c r="X59"/>
  <c r="Z58"/>
  <c r="AD58" s="1"/>
  <c r="Z57"/>
  <c r="AD57" s="1"/>
  <c r="Y56"/>
  <c r="X56"/>
  <c r="Z55"/>
  <c r="AD55" s="1"/>
  <c r="Z54"/>
  <c r="AD54" s="1"/>
  <c r="Y53"/>
  <c r="X53"/>
  <c r="Z52"/>
  <c r="AD52" s="1"/>
  <c r="Z51"/>
  <c r="AD51" s="1"/>
  <c r="Y50"/>
  <c r="X50"/>
  <c r="Z49"/>
  <c r="AD49" s="1"/>
  <c r="Z48"/>
  <c r="AD48" s="1"/>
  <c r="Y47"/>
  <c r="X47"/>
  <c r="Z46"/>
  <c r="AD46" s="1"/>
  <c r="Z45"/>
  <c r="AD45" s="1"/>
  <c r="Y44"/>
  <c r="X44"/>
  <c r="W44"/>
  <c r="Z43"/>
  <c r="AD43" s="1"/>
  <c r="Z42"/>
  <c r="AD42" s="1"/>
  <c r="Y41"/>
  <c r="X41"/>
  <c r="W41"/>
  <c r="Z39"/>
  <c r="AD39" s="1"/>
  <c r="Z38"/>
  <c r="AD38" s="1"/>
  <c r="Y37"/>
  <c r="X37"/>
  <c r="W37"/>
  <c r="Z35"/>
  <c r="AD35" s="1"/>
  <c r="Z34"/>
  <c r="AD34" s="1"/>
  <c r="Z33"/>
  <c r="AD33" s="1"/>
  <c r="Z32"/>
  <c r="AD32" s="1"/>
  <c r="Y31"/>
  <c r="X31"/>
  <c r="W31"/>
  <c r="Z30"/>
  <c r="AD30" s="1"/>
  <c r="Z29"/>
  <c r="AD29" s="1"/>
  <c r="Z28"/>
  <c r="AD28" s="1"/>
  <c r="Z27"/>
  <c r="AD27" s="1"/>
  <c r="Y26"/>
  <c r="X26"/>
  <c r="W26"/>
  <c r="Z25"/>
  <c r="AD25" s="1"/>
  <c r="Z24"/>
  <c r="AD24" s="1"/>
  <c r="Z23"/>
  <c r="AD23" s="1"/>
  <c r="Z22"/>
  <c r="AD22" s="1"/>
  <c r="Z21"/>
  <c r="AD21" s="1"/>
  <c r="Z20"/>
  <c r="AD20" s="1"/>
  <c r="Z19"/>
  <c r="AD19" s="1"/>
  <c r="Z18"/>
  <c r="W17"/>
  <c r="Z16"/>
  <c r="AD16" s="1"/>
  <c r="Z15"/>
  <c r="AD15" s="1"/>
  <c r="Y14"/>
  <c r="X14"/>
  <c r="W14"/>
  <c r="Z13"/>
  <c r="Z12"/>
  <c r="Z11"/>
  <c r="Z10"/>
  <c r="Z9"/>
  <c r="W8"/>
  <c r="J210" i="2"/>
  <c r="J209"/>
  <c r="J208"/>
  <c r="J207"/>
  <c r="J206"/>
  <c r="J205"/>
  <c r="J204"/>
  <c r="J203"/>
  <c r="J202"/>
  <c r="J201"/>
  <c r="J200"/>
  <c r="J199"/>
  <c r="J198"/>
  <c r="J197"/>
  <c r="J196"/>
  <c r="J195"/>
  <c r="J193"/>
  <c r="J192"/>
  <c r="J191"/>
  <c r="J190"/>
  <c r="J189"/>
  <c r="J188"/>
  <c r="J187"/>
  <c r="J186"/>
  <c r="J185"/>
  <c r="J184"/>
  <c r="J183"/>
  <c r="J182"/>
  <c r="J181"/>
  <c r="J180"/>
  <c r="J179"/>
  <c r="J178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I124"/>
  <c r="I37" s="1"/>
  <c r="H124"/>
  <c r="J123"/>
  <c r="J122"/>
  <c r="J121"/>
  <c r="J120"/>
  <c r="J119"/>
  <c r="J118"/>
  <c r="J117"/>
  <c r="J116"/>
  <c r="J115"/>
  <c r="J114"/>
  <c r="J113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H41"/>
  <c r="J40"/>
  <c r="J39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G6"/>
  <c r="G211" s="1"/>
  <c r="H6"/>
  <c r="F17" i="16"/>
  <c r="F9"/>
  <c r="F31" s="1"/>
  <c r="G6" i="12"/>
  <c r="F5" i="22"/>
  <c r="G56" i="14"/>
  <c r="G55"/>
  <c r="W9"/>
  <c r="W5"/>
  <c r="T5" i="13"/>
  <c r="T4" i="10"/>
  <c r="U4"/>
  <c r="V6" i="7"/>
  <c r="U36" i="3"/>
  <c r="T21" i="39"/>
  <c r="T22"/>
  <c r="T23"/>
  <c r="T24"/>
  <c r="T27"/>
  <c r="T28"/>
  <c r="T29"/>
  <c r="T30"/>
  <c r="T31"/>
  <c r="T32"/>
  <c r="T35"/>
  <c r="T36"/>
  <c r="T37"/>
  <c r="T38"/>
  <c r="T39"/>
  <c r="T42"/>
  <c r="T43"/>
  <c r="T44"/>
  <c r="T45"/>
  <c r="T46"/>
  <c r="T49"/>
  <c r="T50"/>
  <c r="T51"/>
  <c r="T52"/>
  <c r="T53"/>
  <c r="T54"/>
  <c r="T57"/>
  <c r="T58"/>
  <c r="T59"/>
  <c r="T60"/>
  <c r="T56"/>
  <c r="T48"/>
  <c r="T41"/>
  <c r="T34"/>
  <c r="T26"/>
  <c r="T20"/>
  <c r="T14"/>
  <c r="T15"/>
  <c r="T16"/>
  <c r="T17"/>
  <c r="T18"/>
  <c r="T13"/>
  <c r="T8"/>
  <c r="T9"/>
  <c r="T10"/>
  <c r="T11"/>
  <c r="T7"/>
  <c r="S55"/>
  <c r="S47"/>
  <c r="S33"/>
  <c r="S25"/>
  <c r="S19"/>
  <c r="S12"/>
  <c r="S6"/>
  <c r="T127" i="2"/>
  <c r="T113"/>
  <c r="G34" i="16" l="1"/>
  <c r="G31"/>
  <c r="T40" i="39"/>
  <c r="F8" i="16"/>
  <c r="F36"/>
  <c r="X20" i="4"/>
  <c r="AD20"/>
  <c r="X24"/>
  <c r="AD24"/>
  <c r="X30"/>
  <c r="AD30"/>
  <c r="X34"/>
  <c r="AD34"/>
  <c r="X38"/>
  <c r="AD38"/>
  <c r="X48"/>
  <c r="AD48"/>
  <c r="X57"/>
  <c r="AD57"/>
  <c r="X63"/>
  <c r="AD63"/>
  <c r="X67"/>
  <c r="AD67"/>
  <c r="X71"/>
  <c r="AD71"/>
  <c r="X73"/>
  <c r="AD73"/>
  <c r="X84"/>
  <c r="AD84"/>
  <c r="X86"/>
  <c r="AD86"/>
  <c r="X92"/>
  <c r="AD92"/>
  <c r="X98"/>
  <c r="AD98"/>
  <c r="X139"/>
  <c r="AD139"/>
  <c r="X146"/>
  <c r="AD146"/>
  <c r="X150"/>
  <c r="AD150"/>
  <c r="X156"/>
  <c r="AD156"/>
  <c r="X160"/>
  <c r="AD160"/>
  <c r="X163"/>
  <c r="AD163"/>
  <c r="X168"/>
  <c r="AD168"/>
  <c r="X172"/>
  <c r="AD172"/>
  <c r="X176"/>
  <c r="AD176"/>
  <c r="X180"/>
  <c r="AD180"/>
  <c r="X184"/>
  <c r="AD184"/>
  <c r="X187"/>
  <c r="AD187"/>
  <c r="X191"/>
  <c r="AD191"/>
  <c r="X195"/>
  <c r="AD195"/>
  <c r="X199"/>
  <c r="AD199"/>
  <c r="X206"/>
  <c r="AD206"/>
  <c r="X216"/>
  <c r="AD216"/>
  <c r="X218"/>
  <c r="AD218"/>
  <c r="X225"/>
  <c r="AD225"/>
  <c r="X229"/>
  <c r="AD229"/>
  <c r="X235"/>
  <c r="AD235"/>
  <c r="X239"/>
  <c r="AD239"/>
  <c r="X259"/>
  <c r="X261"/>
  <c r="X268"/>
  <c r="X279"/>
  <c r="X292"/>
  <c r="X296"/>
  <c r="AD296"/>
  <c r="X312"/>
  <c r="AD312"/>
  <c r="X315"/>
  <c r="AD315"/>
  <c r="X321"/>
  <c r="AD321"/>
  <c r="X323"/>
  <c r="AD323"/>
  <c r="X327"/>
  <c r="AD327"/>
  <c r="X335"/>
  <c r="AD335"/>
  <c r="X349"/>
  <c r="AD349"/>
  <c r="X351"/>
  <c r="AD351"/>
  <c r="X357"/>
  <c r="AD357"/>
  <c r="X359"/>
  <c r="AD359"/>
  <c r="X364"/>
  <c r="AD364"/>
  <c r="X367"/>
  <c r="AD367"/>
  <c r="X371"/>
  <c r="AD371"/>
  <c r="X386"/>
  <c r="AD386"/>
  <c r="X388"/>
  <c r="AD388"/>
  <c r="X393"/>
  <c r="AD393"/>
  <c r="X399"/>
  <c r="AD399"/>
  <c r="X402"/>
  <c r="AD402"/>
  <c r="X406"/>
  <c r="AD406"/>
  <c r="X412"/>
  <c r="AD412"/>
  <c r="X416"/>
  <c r="AD416"/>
  <c r="X420"/>
  <c r="AD420"/>
  <c r="X424"/>
  <c r="AD424"/>
  <c r="X432"/>
  <c r="AD432"/>
  <c r="X440"/>
  <c r="AD440"/>
  <c r="X449"/>
  <c r="AD449"/>
  <c r="X453"/>
  <c r="AD453"/>
  <c r="X459"/>
  <c r="AD459"/>
  <c r="X463"/>
  <c r="AD463"/>
  <c r="X477"/>
  <c r="AD477"/>
  <c r="X482"/>
  <c r="AD482"/>
  <c r="X486"/>
  <c r="AD486"/>
  <c r="X488"/>
  <c r="AD488"/>
  <c r="X492"/>
  <c r="AD492"/>
  <c r="X507"/>
  <c r="AD507"/>
  <c r="X514"/>
  <c r="AD514"/>
  <c r="X521"/>
  <c r="AD521"/>
  <c r="X525"/>
  <c r="AD525"/>
  <c r="X14"/>
  <c r="AD14"/>
  <c r="X21"/>
  <c r="AD21"/>
  <c r="X25"/>
  <c r="AD25"/>
  <c r="X27"/>
  <c r="AD27"/>
  <c r="X31"/>
  <c r="AD31"/>
  <c r="X35"/>
  <c r="AD35"/>
  <c r="X49"/>
  <c r="AD49"/>
  <c r="X51"/>
  <c r="AD51"/>
  <c r="X58"/>
  <c r="AD58"/>
  <c r="X64"/>
  <c r="AD64"/>
  <c r="X68"/>
  <c r="AD68"/>
  <c r="X74"/>
  <c r="AD74"/>
  <c r="X87"/>
  <c r="AD87"/>
  <c r="X93"/>
  <c r="AD93"/>
  <c r="X100"/>
  <c r="AD100"/>
  <c r="X136"/>
  <c r="AD136"/>
  <c r="X140"/>
  <c r="AD140"/>
  <c r="X142"/>
  <c r="AD142"/>
  <c r="X147"/>
  <c r="AD147"/>
  <c r="X151"/>
  <c r="AD151"/>
  <c r="X157"/>
  <c r="AD157"/>
  <c r="X165"/>
  <c r="AD165"/>
  <c r="X173"/>
  <c r="AD173"/>
  <c r="X177"/>
  <c r="AD177"/>
  <c r="X181"/>
  <c r="AD181"/>
  <c r="X188"/>
  <c r="AD188"/>
  <c r="X192"/>
  <c r="AD192"/>
  <c r="X196"/>
  <c r="AD196"/>
  <c r="X200"/>
  <c r="AD200"/>
  <c r="X207"/>
  <c r="AD207"/>
  <c r="X219"/>
  <c r="AD219"/>
  <c r="X226"/>
  <c r="AD226"/>
  <c r="X230"/>
  <c r="AD230"/>
  <c r="X236"/>
  <c r="AD236"/>
  <c r="X240"/>
  <c r="AD240"/>
  <c r="X244"/>
  <c r="AD244"/>
  <c r="X254"/>
  <c r="X289"/>
  <c r="X293"/>
  <c r="X297"/>
  <c r="AD297"/>
  <c r="X318"/>
  <c r="AD318"/>
  <c r="X324"/>
  <c r="AD324"/>
  <c r="X328"/>
  <c r="AD328"/>
  <c r="X336"/>
  <c r="AD336"/>
  <c r="X352"/>
  <c r="AD352"/>
  <c r="X360"/>
  <c r="AD360"/>
  <c r="X362"/>
  <c r="AD362"/>
  <c r="X368"/>
  <c r="AD368"/>
  <c r="X372"/>
  <c r="AD372"/>
  <c r="X390"/>
  <c r="AD390"/>
  <c r="X394"/>
  <c r="AD394"/>
  <c r="X396"/>
  <c r="AD396"/>
  <c r="X407"/>
  <c r="AD407"/>
  <c r="X413"/>
  <c r="AD413"/>
  <c r="X421"/>
  <c r="AD421"/>
  <c r="X425"/>
  <c r="AD425"/>
  <c r="X427"/>
  <c r="AD427"/>
  <c r="X441"/>
  <c r="AD441"/>
  <c r="X443"/>
  <c r="AD443"/>
  <c r="X450"/>
  <c r="AD450"/>
  <c r="X454"/>
  <c r="AD454"/>
  <c r="X460"/>
  <c r="AD460"/>
  <c r="X464"/>
  <c r="AD464"/>
  <c r="X474"/>
  <c r="AD474"/>
  <c r="X483"/>
  <c r="AD483"/>
  <c r="X489"/>
  <c r="AD489"/>
  <c r="X493"/>
  <c r="AD493"/>
  <c r="X508"/>
  <c r="AD508"/>
  <c r="X510"/>
  <c r="AD510"/>
  <c r="X515"/>
  <c r="AD515"/>
  <c r="X522"/>
  <c r="AD522"/>
  <c r="X526"/>
  <c r="AD526"/>
  <c r="X528"/>
  <c r="AD528"/>
  <c r="X11"/>
  <c r="AD11"/>
  <c r="X15"/>
  <c r="AD15"/>
  <c r="X22"/>
  <c r="AD22"/>
  <c r="X28"/>
  <c r="AD28"/>
  <c r="X32"/>
  <c r="AD32"/>
  <c r="X36"/>
  <c r="AD36"/>
  <c r="X52"/>
  <c r="AD52"/>
  <c r="X59"/>
  <c r="AD59"/>
  <c r="X61"/>
  <c r="AD61"/>
  <c r="X65"/>
  <c r="AD65"/>
  <c r="X69"/>
  <c r="AD69"/>
  <c r="X75"/>
  <c r="AD75"/>
  <c r="X88"/>
  <c r="AD88"/>
  <c r="X94"/>
  <c r="AD94"/>
  <c r="X101"/>
  <c r="AD101"/>
  <c r="X133"/>
  <c r="AD133"/>
  <c r="X137"/>
  <c r="AD137"/>
  <c r="X144"/>
  <c r="AD144"/>
  <c r="X148"/>
  <c r="AD148"/>
  <c r="X152"/>
  <c r="AD152"/>
  <c r="X154"/>
  <c r="AD154"/>
  <c r="X158"/>
  <c r="AD158"/>
  <c r="X166"/>
  <c r="AD166"/>
  <c r="X174"/>
  <c r="AD174"/>
  <c r="X178"/>
  <c r="AD178"/>
  <c r="X182"/>
  <c r="AD182"/>
  <c r="X189"/>
  <c r="AD189"/>
  <c r="X193"/>
  <c r="AD193"/>
  <c r="AD197"/>
  <c r="X201"/>
  <c r="AD201"/>
  <c r="X204"/>
  <c r="AD204"/>
  <c r="X208"/>
  <c r="AD208"/>
  <c r="X220"/>
  <c r="AD220"/>
  <c r="X222"/>
  <c r="AD222"/>
  <c r="X227"/>
  <c r="AD227"/>
  <c r="X231"/>
  <c r="AD231"/>
  <c r="X233"/>
  <c r="AD233"/>
  <c r="X237"/>
  <c r="AD237"/>
  <c r="X241"/>
  <c r="AD241"/>
  <c r="X245"/>
  <c r="AD245"/>
  <c r="X255"/>
  <c r="X257"/>
  <c r="X290"/>
  <c r="X294"/>
  <c r="X298"/>
  <c r="AD298"/>
  <c r="X319"/>
  <c r="AD319"/>
  <c r="X325"/>
  <c r="AD325"/>
  <c r="X329"/>
  <c r="AD329"/>
  <c r="X337"/>
  <c r="AD337"/>
  <c r="X342"/>
  <c r="AD342"/>
  <c r="X345"/>
  <c r="AD345"/>
  <c r="X347"/>
  <c r="AD347"/>
  <c r="X353"/>
  <c r="AD353"/>
  <c r="X355"/>
  <c r="AD355"/>
  <c r="X363"/>
  <c r="AD363"/>
  <c r="X365"/>
  <c r="AD365"/>
  <c r="X369"/>
  <c r="AD369"/>
  <c r="X373"/>
  <c r="AD373"/>
  <c r="X375"/>
  <c r="AD375"/>
  <c r="X382"/>
  <c r="AD382"/>
  <c r="X384"/>
  <c r="AD384"/>
  <c r="X391"/>
  <c r="AD391"/>
  <c r="X397"/>
  <c r="AD397"/>
  <c r="X404"/>
  <c r="AD404"/>
  <c r="X408"/>
  <c r="AD408"/>
  <c r="X410"/>
  <c r="AD410"/>
  <c r="X414"/>
  <c r="AD414"/>
  <c r="X422"/>
  <c r="AD422"/>
  <c r="X428"/>
  <c r="AD428"/>
  <c r="X430"/>
  <c r="AD430"/>
  <c r="X434"/>
  <c r="AD434"/>
  <c r="X444"/>
  <c r="AD444"/>
  <c r="X451"/>
  <c r="AD451"/>
  <c r="X455"/>
  <c r="AD455"/>
  <c r="X457"/>
  <c r="AD457"/>
  <c r="X461"/>
  <c r="AD461"/>
  <c r="X475"/>
  <c r="AD475"/>
  <c r="X479"/>
  <c r="AD479"/>
  <c r="X484"/>
  <c r="AD484"/>
  <c r="X490"/>
  <c r="AD490"/>
  <c r="X494"/>
  <c r="AD494"/>
  <c r="X501"/>
  <c r="AD501"/>
  <c r="X505"/>
  <c r="AD505"/>
  <c r="X512"/>
  <c r="AD512"/>
  <c r="X516"/>
  <c r="AD516"/>
  <c r="X523"/>
  <c r="AD523"/>
  <c r="X12"/>
  <c r="AD12"/>
  <c r="X16"/>
  <c r="AD16"/>
  <c r="X18"/>
  <c r="AD18"/>
  <c r="X23"/>
  <c r="AD23"/>
  <c r="X29"/>
  <c r="AD29"/>
  <c r="X33"/>
  <c r="AD33"/>
  <c r="X53"/>
  <c r="AD53"/>
  <c r="X55"/>
  <c r="AD55"/>
  <c r="X62"/>
  <c r="AD62"/>
  <c r="X66"/>
  <c r="AD66"/>
  <c r="X70"/>
  <c r="AD70"/>
  <c r="X77"/>
  <c r="AD77"/>
  <c r="X83"/>
  <c r="AD83"/>
  <c r="X90"/>
  <c r="AD90"/>
  <c r="X95"/>
  <c r="AD95"/>
  <c r="X97"/>
  <c r="AD97"/>
  <c r="X134"/>
  <c r="AD134"/>
  <c r="X138"/>
  <c r="AD138"/>
  <c r="X145"/>
  <c r="AD145"/>
  <c r="X149"/>
  <c r="AD149"/>
  <c r="X155"/>
  <c r="AD155"/>
  <c r="X159"/>
  <c r="AD159"/>
  <c r="X167"/>
  <c r="AD167"/>
  <c r="X171"/>
  <c r="AD171"/>
  <c r="X175"/>
  <c r="AD175"/>
  <c r="X179"/>
  <c r="AD179"/>
  <c r="X183"/>
  <c r="AD183"/>
  <c r="X186"/>
  <c r="AD186"/>
  <c r="X194"/>
  <c r="AD194"/>
  <c r="AD198"/>
  <c r="X215"/>
  <c r="AD215"/>
  <c r="X224"/>
  <c r="AD224"/>
  <c r="X228"/>
  <c r="AD228"/>
  <c r="X234"/>
  <c r="AD234"/>
  <c r="X238"/>
  <c r="AD238"/>
  <c r="X242"/>
  <c r="AD242"/>
  <c r="X258"/>
  <c r="X278"/>
  <c r="X291"/>
  <c r="X295"/>
  <c r="X299"/>
  <c r="AD299"/>
  <c r="X302"/>
  <c r="AD302"/>
  <c r="X309"/>
  <c r="AD309"/>
  <c r="X311"/>
  <c r="AD311"/>
  <c r="X320"/>
  <c r="AD320"/>
  <c r="X326"/>
  <c r="AD326"/>
  <c r="X330"/>
  <c r="AD330"/>
  <c r="X334"/>
  <c r="AD334"/>
  <c r="X338"/>
  <c r="AD338"/>
  <c r="X343"/>
  <c r="AD343"/>
  <c r="X346"/>
  <c r="AD346"/>
  <c r="X348"/>
  <c r="AD348"/>
  <c r="X356"/>
  <c r="AD356"/>
  <c r="X366"/>
  <c r="AD366"/>
  <c r="X370"/>
  <c r="AD370"/>
  <c r="X385"/>
  <c r="AD385"/>
  <c r="X392"/>
  <c r="AD392"/>
  <c r="X398"/>
  <c r="AD398"/>
  <c r="X401"/>
  <c r="AD401"/>
  <c r="X405"/>
  <c r="AD405"/>
  <c r="X411"/>
  <c r="AD411"/>
  <c r="X419"/>
  <c r="AD419"/>
  <c r="X423"/>
  <c r="AD423"/>
  <c r="X431"/>
  <c r="AD431"/>
  <c r="X445"/>
  <c r="AD445"/>
  <c r="X447"/>
  <c r="AD447"/>
  <c r="X452"/>
  <c r="AD452"/>
  <c r="X458"/>
  <c r="AD458"/>
  <c r="X462"/>
  <c r="AD462"/>
  <c r="X476"/>
  <c r="AD476"/>
  <c r="X481"/>
  <c r="AD481"/>
  <c r="X485"/>
  <c r="AD485"/>
  <c r="X491"/>
  <c r="AD491"/>
  <c r="X495"/>
  <c r="AD495"/>
  <c r="X506"/>
  <c r="AD506"/>
  <c r="X513"/>
  <c r="AD513"/>
  <c r="X517"/>
  <c r="AD517"/>
  <c r="X520"/>
  <c r="AD520"/>
  <c r="X524"/>
  <c r="AD524"/>
  <c r="Z78" i="37"/>
  <c r="AD78" s="1"/>
  <c r="Z44"/>
  <c r="AD44" s="1"/>
  <c r="Z53"/>
  <c r="AD53" s="1"/>
  <c r="Z56"/>
  <c r="AD56" s="1"/>
  <c r="Z128"/>
  <c r="AD128" s="1"/>
  <c r="Z14"/>
  <c r="AD14" s="1"/>
  <c r="X8" i="39"/>
  <c r="X15"/>
  <c r="X22"/>
  <c r="X28"/>
  <c r="X48"/>
  <c r="X52"/>
  <c r="X9"/>
  <c r="X16"/>
  <c r="X23"/>
  <c r="X25"/>
  <c r="X29"/>
  <c r="X36"/>
  <c r="X40"/>
  <c r="X44"/>
  <c r="X49"/>
  <c r="X56"/>
  <c r="X60"/>
  <c r="X35"/>
  <c r="X10"/>
  <c r="X13"/>
  <c r="X17"/>
  <c r="X20"/>
  <c r="X24"/>
  <c r="X26"/>
  <c r="X37"/>
  <c r="X41"/>
  <c r="X45"/>
  <c r="X50"/>
  <c r="X57"/>
  <c r="X59"/>
  <c r="X7"/>
  <c r="X11"/>
  <c r="X14"/>
  <c r="X18"/>
  <c r="X21"/>
  <c r="X27"/>
  <c r="X34"/>
  <c r="X42"/>
  <c r="X51"/>
  <c r="X58"/>
  <c r="N6" i="3"/>
  <c r="N45" s="1"/>
  <c r="N868" s="1"/>
  <c r="L56" i="4"/>
  <c r="AH56" s="1"/>
  <c r="AH60"/>
  <c r="L143"/>
  <c r="AH143" s="1"/>
  <c r="AH153"/>
  <c r="L223"/>
  <c r="AH223" s="1"/>
  <c r="AH232"/>
  <c r="O439"/>
  <c r="AH439"/>
  <c r="L448"/>
  <c r="AH448" s="1"/>
  <c r="AH456"/>
  <c r="L500"/>
  <c r="AH500" s="1"/>
  <c r="AH501"/>
  <c r="L91"/>
  <c r="AH91" s="1"/>
  <c r="AH96"/>
  <c r="L511"/>
  <c r="AH511" s="1"/>
  <c r="AH518"/>
  <c r="L480"/>
  <c r="AH480" s="1"/>
  <c r="AH487"/>
  <c r="L262"/>
  <c r="AH262" s="1"/>
  <c r="AH268"/>
  <c r="L316"/>
  <c r="AH316" s="1"/>
  <c r="AH322"/>
  <c r="L389"/>
  <c r="AH389" s="1"/>
  <c r="AH395"/>
  <c r="X529"/>
  <c r="Z41" i="37"/>
  <c r="AD41" s="1"/>
  <c r="W7"/>
  <c r="W6" s="1"/>
  <c r="W55" i="39"/>
  <c r="AQ49" i="4"/>
  <c r="AQ51"/>
  <c r="AQ58"/>
  <c r="AQ64"/>
  <c r="AQ68"/>
  <c r="AQ74"/>
  <c r="AQ57"/>
  <c r="AQ63"/>
  <c r="AQ71"/>
  <c r="Z31" i="37"/>
  <c r="AD31" s="1"/>
  <c r="Y40"/>
  <c r="J41" i="2"/>
  <c r="Z62" i="37"/>
  <c r="AD62" s="1"/>
  <c r="Z113"/>
  <c r="AD113" s="1"/>
  <c r="W6" i="39"/>
  <c r="W12"/>
  <c r="AQ52" i="4"/>
  <c r="AQ59"/>
  <c r="AQ61"/>
  <c r="AQ65"/>
  <c r="AQ69"/>
  <c r="AQ75"/>
  <c r="X40" i="37"/>
  <c r="Y5" i="39" s="1"/>
  <c r="AQ67" i="4"/>
  <c r="AQ73"/>
  <c r="O473"/>
  <c r="Y77" i="37"/>
  <c r="O41" i="3"/>
  <c r="AQ53" i="4"/>
  <c r="AQ55"/>
  <c r="AQ62"/>
  <c r="AQ66"/>
  <c r="AQ70"/>
  <c r="AQ77"/>
  <c r="W47" i="39"/>
  <c r="Z37" i="37"/>
  <c r="AD37" s="1"/>
  <c r="Z59"/>
  <c r="AD59" s="1"/>
  <c r="Z50"/>
  <c r="AD50" s="1"/>
  <c r="Z47"/>
  <c r="AD47" s="1"/>
  <c r="Z156"/>
  <c r="AD156" s="1"/>
  <c r="Z107"/>
  <c r="AD107" s="1"/>
  <c r="Z102"/>
  <c r="AD102" s="1"/>
  <c r="Z80"/>
  <c r="Z26"/>
  <c r="AD26" s="1"/>
  <c r="Z17"/>
  <c r="Z8"/>
  <c r="O262" i="4"/>
  <c r="P6" i="12"/>
  <c r="L131" i="4"/>
  <c r="M169"/>
  <c r="M46"/>
  <c r="M45" s="1"/>
  <c r="M43" s="1"/>
  <c r="O374"/>
  <c r="L169"/>
  <c r="AH169" s="1"/>
  <c r="AI169" s="1"/>
  <c r="N46"/>
  <c r="N45" s="1"/>
  <c r="N43" s="1"/>
  <c r="L252"/>
  <c r="L213"/>
  <c r="L469"/>
  <c r="N306"/>
  <c r="N305" s="1"/>
  <c r="O531"/>
  <c r="AD531" s="1"/>
  <c r="M213"/>
  <c r="M378"/>
  <c r="M376" s="1"/>
  <c r="O37"/>
  <c r="O162"/>
  <c r="N213"/>
  <c r="N212" s="1"/>
  <c r="N210" s="1"/>
  <c r="O253"/>
  <c r="L9"/>
  <c r="N252"/>
  <c r="N251" s="1"/>
  <c r="N249" s="1"/>
  <c r="M306"/>
  <c r="M305" s="1"/>
  <c r="O310"/>
  <c r="M27" i="3"/>
  <c r="M6" s="1"/>
  <c r="O26" i="4"/>
  <c r="O47"/>
  <c r="O50"/>
  <c r="O141"/>
  <c r="O214"/>
  <c r="O446"/>
  <c r="N498"/>
  <c r="L46"/>
  <c r="O72"/>
  <c r="O135"/>
  <c r="M130"/>
  <c r="O217"/>
  <c r="L306"/>
  <c r="O314"/>
  <c r="O341"/>
  <c r="O344"/>
  <c r="L379"/>
  <c r="O496"/>
  <c r="O17"/>
  <c r="O54"/>
  <c r="O96"/>
  <c r="O132"/>
  <c r="O300"/>
  <c r="O383"/>
  <c r="O426"/>
  <c r="O465"/>
  <c r="O509"/>
  <c r="O60"/>
  <c r="O221"/>
  <c r="O232"/>
  <c r="M252"/>
  <c r="M251" s="1"/>
  <c r="M249" s="1"/>
  <c r="L340"/>
  <c r="O350"/>
  <c r="O354"/>
  <c r="O358"/>
  <c r="O387"/>
  <c r="O429"/>
  <c r="O478"/>
  <c r="I211" i="2"/>
  <c r="J124"/>
  <c r="H37"/>
  <c r="H211" s="1"/>
  <c r="J7"/>
  <c r="N130" i="4"/>
  <c r="N169"/>
  <c r="O202"/>
  <c r="O260"/>
  <c r="O287"/>
  <c r="O331"/>
  <c r="N340"/>
  <c r="N339" s="1"/>
  <c r="O380"/>
  <c r="O409"/>
  <c r="L438"/>
  <c r="O456"/>
  <c r="O487"/>
  <c r="O527"/>
  <c r="M8"/>
  <c r="M6" s="1"/>
  <c r="O13"/>
  <c r="O82"/>
  <c r="O153"/>
  <c r="O185"/>
  <c r="O322"/>
  <c r="M340"/>
  <c r="M339" s="1"/>
  <c r="O395"/>
  <c r="O442"/>
  <c r="O518"/>
  <c r="O10"/>
  <c r="N8"/>
  <c r="N6" s="1"/>
  <c r="L81"/>
  <c r="O85"/>
  <c r="O256"/>
  <c r="O276"/>
  <c r="O280"/>
  <c r="O307"/>
  <c r="O361"/>
  <c r="N378"/>
  <c r="N376" s="1"/>
  <c r="O504"/>
  <c r="M498"/>
  <c r="L280"/>
  <c r="AH280" s="1"/>
  <c r="O403"/>
  <c r="W19" i="39"/>
  <c r="S5"/>
  <c r="T6"/>
  <c r="X8" i="37"/>
  <c r="W80"/>
  <c r="Z87"/>
  <c r="AD87" s="1"/>
  <c r="Z141"/>
  <c r="AD141" s="1"/>
  <c r="Z146"/>
  <c r="AD146" s="1"/>
  <c r="X17"/>
  <c r="X85"/>
  <c r="X77" s="1"/>
  <c r="J6" i="2"/>
  <c r="AT7" i="4"/>
  <c r="AT44"/>
  <c r="AT76"/>
  <c r="AT79"/>
  <c r="AT89"/>
  <c r="AT103"/>
  <c r="AT127"/>
  <c r="AT129"/>
  <c r="AT161"/>
  <c r="AT209"/>
  <c r="AT211"/>
  <c r="AT250"/>
  <c r="AT263"/>
  <c r="AT264"/>
  <c r="AT265"/>
  <c r="AT266"/>
  <c r="AT267"/>
  <c r="AT269"/>
  <c r="AT270"/>
  <c r="AT271"/>
  <c r="AT272"/>
  <c r="AT273"/>
  <c r="AT274"/>
  <c r="AT281"/>
  <c r="AT282"/>
  <c r="AT286"/>
  <c r="AT304"/>
  <c r="AT333"/>
  <c r="AT377"/>
  <c r="AT436"/>
  <c r="AT468"/>
  <c r="AT499"/>
  <c r="AT502"/>
  <c r="AT503"/>
  <c r="J41" i="3"/>
  <c r="AS268" i="4"/>
  <c r="AS501"/>
  <c r="E67" i="9"/>
  <c r="T67" s="1"/>
  <c r="E58"/>
  <c r="T58" s="1"/>
  <c r="E53"/>
  <c r="T53" s="1"/>
  <c r="E18"/>
  <c r="E8"/>
  <c r="G7" i="25"/>
  <c r="G8"/>
  <c r="G9"/>
  <c r="G10"/>
  <c r="G11"/>
  <c r="G12"/>
  <c r="G13"/>
  <c r="G14"/>
  <c r="G15"/>
  <c r="G6"/>
  <c r="E6" i="26"/>
  <c r="G6"/>
  <c r="H11"/>
  <c r="Q11" s="1"/>
  <c r="H8"/>
  <c r="Q8" s="1"/>
  <c r="H9"/>
  <c r="Q9" s="1"/>
  <c r="H10"/>
  <c r="H7"/>
  <c r="Q7" s="1"/>
  <c r="F8" i="15"/>
  <c r="F9"/>
  <c r="F10"/>
  <c r="F11"/>
  <c r="F12"/>
  <c r="F13"/>
  <c r="F14"/>
  <c r="F15"/>
  <c r="F16"/>
  <c r="F17"/>
  <c r="F22"/>
  <c r="F23"/>
  <c r="F24"/>
  <c r="F25"/>
  <c r="F7"/>
  <c r="D6"/>
  <c r="D5" s="1"/>
  <c r="W5" i="39" l="1"/>
  <c r="E17" i="9"/>
  <c r="T17" s="1"/>
  <c r="T18"/>
  <c r="E7"/>
  <c r="T8"/>
  <c r="AD80" i="37"/>
  <c r="L211" i="2"/>
  <c r="X403" i="4"/>
  <c r="AD403"/>
  <c r="X276"/>
  <c r="X82"/>
  <c r="AD82"/>
  <c r="X344"/>
  <c r="AD344"/>
  <c r="X141"/>
  <c r="AD141"/>
  <c r="X504"/>
  <c r="AD504"/>
  <c r="X280"/>
  <c r="X442"/>
  <c r="AD442"/>
  <c r="X185"/>
  <c r="AD185"/>
  <c r="X331"/>
  <c r="AD331"/>
  <c r="X429"/>
  <c r="AD429"/>
  <c r="X350"/>
  <c r="AD350"/>
  <c r="X221"/>
  <c r="AD221"/>
  <c r="X465"/>
  <c r="AD465"/>
  <c r="X132"/>
  <c r="AD132"/>
  <c r="X496"/>
  <c r="AD496"/>
  <c r="X314"/>
  <c r="AD314"/>
  <c r="X135"/>
  <c r="AD135"/>
  <c r="X446"/>
  <c r="AD446"/>
  <c r="X47"/>
  <c r="AD47"/>
  <c r="X374"/>
  <c r="AD374"/>
  <c r="X395"/>
  <c r="AD395"/>
  <c r="X153"/>
  <c r="AD153"/>
  <c r="X527"/>
  <c r="AD527"/>
  <c r="X409"/>
  <c r="AD409"/>
  <c r="X287"/>
  <c r="X387"/>
  <c r="AD387"/>
  <c r="X60"/>
  <c r="AD60"/>
  <c r="X426"/>
  <c r="AD426"/>
  <c r="X96"/>
  <c r="AD96"/>
  <c r="X72"/>
  <c r="AD72"/>
  <c r="X214"/>
  <c r="AD214"/>
  <c r="X162"/>
  <c r="AD162"/>
  <c r="X262"/>
  <c r="X473"/>
  <c r="AD473"/>
  <c r="X380"/>
  <c r="AD380"/>
  <c r="X358"/>
  <c r="AD358"/>
  <c r="X54"/>
  <c r="AD54"/>
  <c r="X439"/>
  <c r="AD439"/>
  <c r="X361"/>
  <c r="AD361"/>
  <c r="X256"/>
  <c r="X10"/>
  <c r="AD10"/>
  <c r="X487"/>
  <c r="AD487"/>
  <c r="X260"/>
  <c r="X383"/>
  <c r="AD383"/>
  <c r="X217"/>
  <c r="AD217"/>
  <c r="X307"/>
  <c r="AD307"/>
  <c r="X85"/>
  <c r="AD85"/>
  <c r="X518"/>
  <c r="AD518"/>
  <c r="X322"/>
  <c r="AD322"/>
  <c r="X456"/>
  <c r="AD456"/>
  <c r="X202"/>
  <c r="AD202"/>
  <c r="X478"/>
  <c r="AD478"/>
  <c r="X354"/>
  <c r="AD354"/>
  <c r="X232"/>
  <c r="AD232"/>
  <c r="X509"/>
  <c r="AD509"/>
  <c r="X300"/>
  <c r="X341"/>
  <c r="AD341"/>
  <c r="X50"/>
  <c r="AD50"/>
  <c r="X310"/>
  <c r="AD310"/>
  <c r="X253"/>
  <c r="Z144" i="37"/>
  <c r="AD144" s="1"/>
  <c r="Z130"/>
  <c r="X6" i="39"/>
  <c r="Z40" i="37"/>
  <c r="L45" i="4"/>
  <c r="AH45" s="1"/>
  <c r="AH46"/>
  <c r="L8"/>
  <c r="L6" s="1"/>
  <c r="AH9"/>
  <c r="L467"/>
  <c r="AH467" s="1"/>
  <c r="AH469"/>
  <c r="L130"/>
  <c r="AH130" s="1"/>
  <c r="AH131"/>
  <c r="L212"/>
  <c r="AH213"/>
  <c r="L498"/>
  <c r="AH498" s="1"/>
  <c r="L80"/>
  <c r="AH81"/>
  <c r="L437"/>
  <c r="AH438"/>
  <c r="L339"/>
  <c r="AH339" s="1"/>
  <c r="AH340"/>
  <c r="L378"/>
  <c r="AH379"/>
  <c r="L305"/>
  <c r="AH305" s="1"/>
  <c r="AH306"/>
  <c r="L251"/>
  <c r="AH251" s="1"/>
  <c r="AH252"/>
  <c r="J37" i="2"/>
  <c r="AQ54" i="4"/>
  <c r="O469"/>
  <c r="AQ50"/>
  <c r="Y36" i="37"/>
  <c r="O56" i="4"/>
  <c r="AQ60"/>
  <c r="AQ72"/>
  <c r="F6" i="15"/>
  <c r="AQ47" i="4"/>
  <c r="X36" i="37"/>
  <c r="Z7"/>
  <c r="X7"/>
  <c r="O400" i="4"/>
  <c r="M128"/>
  <c r="O19"/>
  <c r="O213"/>
  <c r="M303"/>
  <c r="O9"/>
  <c r="O223"/>
  <c r="O379"/>
  <c r="O438"/>
  <c r="N128"/>
  <c r="O91"/>
  <c r="O500"/>
  <c r="O389"/>
  <c r="O170"/>
  <c r="M45" i="3"/>
  <c r="M868" s="1"/>
  <c r="O511" i="4"/>
  <c r="O340"/>
  <c r="O306"/>
  <c r="O252"/>
  <c r="O316"/>
  <c r="O448"/>
  <c r="O46"/>
  <c r="O143"/>
  <c r="O480"/>
  <c r="N303"/>
  <c r="O131"/>
  <c r="O81"/>
  <c r="Z85" i="37"/>
  <c r="I867" i="3"/>
  <c r="V29"/>
  <c r="AD85" i="37" l="1"/>
  <c r="AC86"/>
  <c r="AD40"/>
  <c r="M41" i="2"/>
  <c r="J211"/>
  <c r="G14" i="16"/>
  <c r="AD130" i="37"/>
  <c r="X6"/>
  <c r="X448" i="4"/>
  <c r="AD448"/>
  <c r="X389"/>
  <c r="AD389"/>
  <c r="X469"/>
  <c r="AD469"/>
  <c r="X480"/>
  <c r="AD480"/>
  <c r="X316"/>
  <c r="AD316"/>
  <c r="X511"/>
  <c r="AD511"/>
  <c r="X500"/>
  <c r="AD500"/>
  <c r="X379"/>
  <c r="AD379"/>
  <c r="X213"/>
  <c r="AD213"/>
  <c r="X56"/>
  <c r="AD56"/>
  <c r="X340"/>
  <c r="AD340"/>
  <c r="X438"/>
  <c r="AD438"/>
  <c r="X400"/>
  <c r="AD400"/>
  <c r="X81"/>
  <c r="AD81"/>
  <c r="X143"/>
  <c r="AD143"/>
  <c r="X252"/>
  <c r="X91"/>
  <c r="AD91"/>
  <c r="X223"/>
  <c r="AD223"/>
  <c r="X131"/>
  <c r="AD131"/>
  <c r="X46"/>
  <c r="AD46"/>
  <c r="X306"/>
  <c r="AD306"/>
  <c r="X170"/>
  <c r="AD170"/>
  <c r="Z6" i="37"/>
  <c r="L78" i="4"/>
  <c r="AH80"/>
  <c r="L376"/>
  <c r="AH376" s="1"/>
  <c r="AH378"/>
  <c r="L435"/>
  <c r="AH435" s="1"/>
  <c r="AH437"/>
  <c r="L303"/>
  <c r="AH303" s="1"/>
  <c r="L128"/>
  <c r="AH128" s="1"/>
  <c r="L249"/>
  <c r="AH249" s="1"/>
  <c r="L210"/>
  <c r="AH210" s="1"/>
  <c r="AH212"/>
  <c r="M530"/>
  <c r="M532" s="1"/>
  <c r="O8"/>
  <c r="O6" s="1"/>
  <c r="AQ56"/>
  <c r="X155" i="37"/>
  <c r="AQ46" i="4"/>
  <c r="O467"/>
  <c r="O305"/>
  <c r="N530"/>
  <c r="N532" s="1"/>
  <c r="O378"/>
  <c r="O212"/>
  <c r="O80"/>
  <c r="O339"/>
  <c r="O251"/>
  <c r="O169"/>
  <c r="O437"/>
  <c r="O130"/>
  <c r="O45"/>
  <c r="O498"/>
  <c r="X159" i="37" l="1"/>
  <c r="H216" i="2"/>
  <c r="L6"/>
  <c r="AC7" i="37"/>
  <c r="G10" i="16"/>
  <c r="X437" i="4"/>
  <c r="AD437"/>
  <c r="X305"/>
  <c r="AD305"/>
  <c r="X169"/>
  <c r="AD169"/>
  <c r="X212"/>
  <c r="AD212"/>
  <c r="X45"/>
  <c r="AD45"/>
  <c r="X251"/>
  <c r="X378"/>
  <c r="AD378"/>
  <c r="X80"/>
  <c r="AD80"/>
  <c r="X498"/>
  <c r="AD498"/>
  <c r="X467"/>
  <c r="AD467"/>
  <c r="X130"/>
  <c r="AD130"/>
  <c r="X339"/>
  <c r="AD339"/>
  <c r="AH78"/>
  <c r="L43"/>
  <c r="AQ45"/>
  <c r="O376"/>
  <c r="O78"/>
  <c r="O249"/>
  <c r="O210"/>
  <c r="O303"/>
  <c r="O128"/>
  <c r="O435"/>
  <c r="AU424"/>
  <c r="AU421"/>
  <c r="AU420"/>
  <c r="F56" i="14"/>
  <c r="AU425" i="4"/>
  <c r="AU426" s="1"/>
  <c r="AU423"/>
  <c r="AU414"/>
  <c r="AU413"/>
  <c r="AU412"/>
  <c r="AU422"/>
  <c r="AU419"/>
  <c r="AU411"/>
  <c r="AU410"/>
  <c r="W19" i="14"/>
  <c r="W7"/>
  <c r="U19"/>
  <c r="V19" s="1"/>
  <c r="U7"/>
  <c r="V7" s="1"/>
  <c r="T6" i="26"/>
  <c r="S6"/>
  <c r="U6"/>
  <c r="L5" i="8"/>
  <c r="L6"/>
  <c r="L7"/>
  <c r="L8"/>
  <c r="L9"/>
  <c r="L10"/>
  <c r="L11"/>
  <c r="L12"/>
  <c r="L14"/>
  <c r="L15"/>
  <c r="L16"/>
  <c r="L17"/>
  <c r="L18"/>
  <c r="L19"/>
  <c r="L20"/>
  <c r="L22"/>
  <c r="L23"/>
  <c r="L24"/>
  <c r="L25"/>
  <c r="L26"/>
  <c r="L27"/>
  <c r="L29"/>
  <c r="L30"/>
  <c r="L31"/>
  <c r="L32"/>
  <c r="L33"/>
  <c r="L34"/>
  <c r="L36"/>
  <c r="L37"/>
  <c r="L38"/>
  <c r="L39"/>
  <c r="L40"/>
  <c r="L41"/>
  <c r="L43"/>
  <c r="L44"/>
  <c r="L45"/>
  <c r="L46"/>
  <c r="L47"/>
  <c r="L48"/>
  <c r="L49"/>
  <c r="L51"/>
  <c r="L52"/>
  <c r="L53"/>
  <c r="L54"/>
  <c r="L55"/>
  <c r="L56"/>
  <c r="K57"/>
  <c r="J57"/>
  <c r="L57" s="1"/>
  <c r="K50"/>
  <c r="J50"/>
  <c r="K42"/>
  <c r="J42"/>
  <c r="L42" s="1"/>
  <c r="K35"/>
  <c r="J35"/>
  <c r="K28"/>
  <c r="J28"/>
  <c r="L28" s="1"/>
  <c r="K21"/>
  <c r="J21"/>
  <c r="K13"/>
  <c r="J13"/>
  <c r="L13" s="1"/>
  <c r="K4"/>
  <c r="J4"/>
  <c r="AE101" i="37"/>
  <c r="X435" i="4" l="1"/>
  <c r="AD435"/>
  <c r="X249"/>
  <c r="X128"/>
  <c r="AD128"/>
  <c r="X78"/>
  <c r="AD78"/>
  <c r="X303"/>
  <c r="AD303"/>
  <c r="AH43"/>
  <c r="L530"/>
  <c r="L532" s="1"/>
  <c r="W6" i="14"/>
  <c r="O43" i="4"/>
  <c r="AD43" s="1"/>
  <c r="K3" i="8"/>
  <c r="L4"/>
  <c r="L35"/>
  <c r="L21"/>
  <c r="L50"/>
  <c r="J3"/>
  <c r="W5" i="3"/>
  <c r="W40"/>
  <c r="W549" i="4"/>
  <c r="V544"/>
  <c r="U544"/>
  <c r="T544"/>
  <c r="T549" s="1"/>
  <c r="AU530"/>
  <c r="J868" i="3"/>
  <c r="K868" s="1"/>
  <c r="P867"/>
  <c r="J867"/>
  <c r="I869"/>
  <c r="H869"/>
  <c r="AE155" i="37"/>
  <c r="T211" i="2"/>
  <c r="E216"/>
  <c r="D216"/>
  <c r="D214"/>
  <c r="C216"/>
  <c r="T26"/>
  <c r="AF27" i="37"/>
  <c r="U43" i="3"/>
  <c r="G55" i="24"/>
  <c r="G91" i="21"/>
  <c r="G120"/>
  <c r="B10" i="44"/>
  <c r="D12"/>
  <c r="D13"/>
  <c r="D14"/>
  <c r="D15"/>
  <c r="D16"/>
  <c r="D17"/>
  <c r="D18"/>
  <c r="D19"/>
  <c r="D20"/>
  <c r="D11"/>
  <c r="C10"/>
  <c r="D89"/>
  <c r="C89"/>
  <c r="B89"/>
  <c r="D85"/>
  <c r="D84"/>
  <c r="D83"/>
  <c r="D82"/>
  <c r="C81"/>
  <c r="B81"/>
  <c r="C52" i="43"/>
  <c r="D53"/>
  <c r="D54"/>
  <c r="D55"/>
  <c r="E51"/>
  <c r="D67"/>
  <c r="D68"/>
  <c r="D69"/>
  <c r="D66"/>
  <c r="C65"/>
  <c r="B65"/>
  <c r="D46"/>
  <c r="C33"/>
  <c r="B33"/>
  <c r="D40"/>
  <c r="D41"/>
  <c r="D42"/>
  <c r="D43"/>
  <c r="D44"/>
  <c r="D45"/>
  <c r="L3" i="8" l="1"/>
  <c r="O530" i="4"/>
  <c r="O532" s="1"/>
  <c r="AD532" s="1"/>
  <c r="X43"/>
  <c r="AQ43"/>
  <c r="D65" i="43"/>
  <c r="D217" i="2"/>
  <c r="J869" i="3"/>
  <c r="K867"/>
  <c r="D10" i="44"/>
  <c r="D81"/>
  <c r="K869" i="3" l="1"/>
  <c r="U867"/>
  <c r="C5" i="44"/>
  <c r="D7"/>
  <c r="D8"/>
  <c r="D6"/>
  <c r="B5"/>
  <c r="D24" i="43"/>
  <c r="D25"/>
  <c r="D27"/>
  <c r="D28"/>
  <c r="D29"/>
  <c r="D30"/>
  <c r="D23"/>
  <c r="D21"/>
  <c r="D20" s="1"/>
  <c r="D13"/>
  <c r="D14"/>
  <c r="D15"/>
  <c r="D16"/>
  <c r="D17"/>
  <c r="D18"/>
  <c r="D19"/>
  <c r="D12"/>
  <c r="D9"/>
  <c r="D8"/>
  <c r="D6"/>
  <c r="B22"/>
  <c r="D31"/>
  <c r="C32"/>
  <c r="C22"/>
  <c r="D35"/>
  <c r="D36"/>
  <c r="D37"/>
  <c r="D38"/>
  <c r="D39"/>
  <c r="D34"/>
  <c r="C51"/>
  <c r="B52"/>
  <c r="B51" s="1"/>
  <c r="C20"/>
  <c r="C11"/>
  <c r="B11"/>
  <c r="B20"/>
  <c r="D57"/>
  <c r="D58"/>
  <c r="D59"/>
  <c r="D60"/>
  <c r="D61"/>
  <c r="D62"/>
  <c r="D63"/>
  <c r="D64"/>
  <c r="D56"/>
  <c r="B32"/>
  <c r="C7"/>
  <c r="B7"/>
  <c r="C5"/>
  <c r="B5"/>
  <c r="D52" l="1"/>
  <c r="D51" s="1"/>
  <c r="D5" i="44"/>
  <c r="D33" i="43"/>
  <c r="D32" s="1"/>
  <c r="D22"/>
  <c r="B10"/>
  <c r="B73" s="1"/>
  <c r="D7"/>
  <c r="D11"/>
  <c r="C10"/>
  <c r="C73" s="1"/>
  <c r="D5"/>
  <c r="D10" l="1"/>
  <c r="D73" s="1"/>
  <c r="F20" i="8"/>
  <c r="M120" i="21"/>
  <c r="AA22" i="14" l="1"/>
  <c r="AG28" i="37"/>
  <c r="AE9" l="1"/>
  <c r="AE10"/>
  <c r="AE11"/>
  <c r="AE12"/>
  <c r="AE13"/>
  <c r="AE15"/>
  <c r="AE16"/>
  <c r="AE18"/>
  <c r="AE19"/>
  <c r="AE20"/>
  <c r="AE21"/>
  <c r="AE22"/>
  <c r="AE23"/>
  <c r="AE24"/>
  <c r="AE25"/>
  <c r="AE27"/>
  <c r="AE28"/>
  <c r="AE29"/>
  <c r="AE30"/>
  <c r="AE32"/>
  <c r="AE33"/>
  <c r="AE34"/>
  <c r="AE35"/>
  <c r="AE38"/>
  <c r="AE39"/>
  <c r="AE40"/>
  <c r="AE42"/>
  <c r="AE43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9"/>
  <c r="AE82"/>
  <c r="AE83"/>
  <c r="AE84"/>
  <c r="AE88"/>
  <c r="AE96"/>
  <c r="AE104"/>
  <c r="AE105"/>
  <c r="AE106"/>
  <c r="AE109"/>
  <c r="AE110"/>
  <c r="AE111"/>
  <c r="AE112"/>
  <c r="AE114"/>
  <c r="AE117"/>
  <c r="AE118"/>
  <c r="AE119"/>
  <c r="AE121"/>
  <c r="AE122"/>
  <c r="AE125"/>
  <c r="AE126"/>
  <c r="AE127"/>
  <c r="AE129"/>
  <c r="AE140"/>
  <c r="AE154"/>
  <c r="AE156"/>
  <c r="H9" i="11" l="1"/>
  <c r="H10"/>
  <c r="H11"/>
  <c r="H12"/>
  <c r="H13"/>
  <c r="H14"/>
  <c r="H15"/>
  <c r="H16"/>
  <c r="H17"/>
  <c r="H18"/>
  <c r="H19"/>
  <c r="H20"/>
  <c r="H8"/>
  <c r="K15" i="16"/>
  <c r="M6" i="41"/>
  <c r="AX178" i="4"/>
  <c r="AX177"/>
  <c r="AX176"/>
  <c r="Q3" i="22"/>
  <c r="P3"/>
  <c r="N3"/>
  <c r="M3"/>
  <c r="M2"/>
  <c r="L3"/>
  <c r="L2"/>
  <c r="Q20" i="11" l="1"/>
  <c r="R20"/>
  <c r="Q16"/>
  <c r="R16"/>
  <c r="Q12"/>
  <c r="R12"/>
  <c r="Q19"/>
  <c r="R19"/>
  <c r="Q15"/>
  <c r="R15"/>
  <c r="Q11"/>
  <c r="R11"/>
  <c r="Q18"/>
  <c r="R18"/>
  <c r="Q14"/>
  <c r="R14"/>
  <c r="Q10"/>
  <c r="R10"/>
  <c r="Q8"/>
  <c r="R8"/>
  <c r="Q17"/>
  <c r="R17"/>
  <c r="Q13"/>
  <c r="R13"/>
  <c r="Q9"/>
  <c r="R9"/>
  <c r="O3" i="22"/>
  <c r="P10" i="42"/>
  <c r="L10"/>
  <c r="L5" s="1"/>
  <c r="H10"/>
  <c r="P9"/>
  <c r="H9"/>
  <c r="P8"/>
  <c r="P7"/>
  <c r="H7"/>
  <c r="P6"/>
  <c r="H6"/>
  <c r="O5"/>
  <c r="M5"/>
  <c r="K5"/>
  <c r="G5"/>
  <c r="F5"/>
  <c r="E5"/>
  <c r="P5" l="1"/>
  <c r="H5"/>
  <c r="M17" i="22"/>
  <c r="M16"/>
  <c r="K4"/>
  <c r="K57"/>
  <c r="U12" i="3"/>
  <c r="S37" i="7" l="1"/>
  <c r="S38"/>
  <c r="S39"/>
  <c r="H41" i="3"/>
  <c r="U40"/>
  <c r="U48"/>
  <c r="S38" i="2"/>
  <c r="S112"/>
  <c r="S176"/>
  <c r="S212"/>
  <c r="S213"/>
  <c r="J3" i="40" l="1"/>
  <c r="T215" i="2"/>
  <c r="V45" i="3"/>
  <c r="I17" i="16" l="1"/>
  <c r="E17"/>
  <c r="I23"/>
  <c r="V36" i="3"/>
  <c r="V27"/>
  <c r="W48"/>
  <c r="V12"/>
  <c r="V10"/>
  <c r="V7"/>
  <c r="V6"/>
  <c r="K5" i="22" l="1"/>
  <c r="K13"/>
  <c r="O14" i="41"/>
  <c r="O15"/>
  <c r="M16"/>
  <c r="O16" s="1"/>
  <c r="O8"/>
  <c r="O9"/>
  <c r="O10"/>
  <c r="O11"/>
  <c r="O12"/>
  <c r="O13"/>
  <c r="O7"/>
  <c r="O6" l="1"/>
  <c r="N6"/>
  <c r="L6"/>
  <c r="AU268" i="4"/>
  <c r="AU501"/>
  <c r="W38" i="2"/>
  <c r="W112"/>
  <c r="W176"/>
  <c r="W212"/>
  <c r="W213"/>
  <c r="X6"/>
  <c r="I30" i="16" l="1"/>
  <c r="I29"/>
  <c r="F21" i="12"/>
  <c r="G20"/>
  <c r="F20"/>
  <c r="E20"/>
  <c r="H21" i="11"/>
  <c r="R21" s="1"/>
  <c r="G40" i="7"/>
  <c r="AV282" i="4"/>
  <c r="AW282" s="1"/>
  <c r="AV281"/>
  <c r="AW281" s="1"/>
  <c r="E72" i="9"/>
  <c r="T72" s="1"/>
  <c r="F74"/>
  <c r="G72"/>
  <c r="G74" s="1"/>
  <c r="AV210" i="4"/>
  <c r="AV279"/>
  <c r="X28" i="3"/>
  <c r="X30"/>
  <c r="AA47"/>
  <c r="Z47"/>
  <c r="Y47"/>
  <c r="X43"/>
  <c r="X36"/>
  <c r="Y37"/>
  <c r="Z36"/>
  <c r="Y36"/>
  <c r="AW368" i="4"/>
  <c r="AW367"/>
  <c r="AW366"/>
  <c r="K12" i="22"/>
  <c r="G17" i="25"/>
  <c r="F19"/>
  <c r="G22"/>
  <c r="G21"/>
  <c r="G20"/>
  <c r="L166" i="21"/>
  <c r="AV130" i="4"/>
  <c r="AV128"/>
  <c r="AV102"/>
  <c r="AV78"/>
  <c r="AV43"/>
  <c r="AV6"/>
  <c r="AV498"/>
  <c r="AV7"/>
  <c r="AW7" s="1"/>
  <c r="AV44"/>
  <c r="AW44" s="1"/>
  <c r="AV76"/>
  <c r="AW76" s="1"/>
  <c r="AV79"/>
  <c r="AW79" s="1"/>
  <c r="AV89"/>
  <c r="AW89" s="1"/>
  <c r="AV103"/>
  <c r="AW103" s="1"/>
  <c r="AV127"/>
  <c r="AW127" s="1"/>
  <c r="AV129"/>
  <c r="AW129" s="1"/>
  <c r="AV161"/>
  <c r="AW161" s="1"/>
  <c r="AV209"/>
  <c r="AW209" s="1"/>
  <c r="AV211"/>
  <c r="AW211" s="1"/>
  <c r="AV250"/>
  <c r="AW250" s="1"/>
  <c r="AV263"/>
  <c r="AW263" s="1"/>
  <c r="AV264"/>
  <c r="AW264" s="1"/>
  <c r="AV265"/>
  <c r="AW265" s="1"/>
  <c r="AV266"/>
  <c r="AW266" s="1"/>
  <c r="AV267"/>
  <c r="AW267" s="1"/>
  <c r="AV269"/>
  <c r="AW269" s="1"/>
  <c r="AV270"/>
  <c r="AW270" s="1"/>
  <c r="AV271"/>
  <c r="AW271" s="1"/>
  <c r="AV272"/>
  <c r="AW272" s="1"/>
  <c r="AV273"/>
  <c r="AW273" s="1"/>
  <c r="AV274"/>
  <c r="AW274" s="1"/>
  <c r="AV286"/>
  <c r="AW286" s="1"/>
  <c r="AV304"/>
  <c r="AW304" s="1"/>
  <c r="AV377"/>
  <c r="AW377" s="1"/>
  <c r="AV436"/>
  <c r="AW436" s="1"/>
  <c r="AV468"/>
  <c r="AW468" s="1"/>
  <c r="AV499"/>
  <c r="AW499" s="1"/>
  <c r="AV502"/>
  <c r="AW502" s="1"/>
  <c r="AV503"/>
  <c r="AW503" s="1"/>
  <c r="F22" i="12" l="1"/>
  <c r="Q21" i="11"/>
  <c r="G22" i="12"/>
  <c r="H21"/>
  <c r="R21" s="1"/>
  <c r="H20"/>
  <c r="E22"/>
  <c r="G19" i="25"/>
  <c r="H72" i="9"/>
  <c r="H74" s="1"/>
  <c r="E74"/>
  <c r="T74" s="1"/>
  <c r="X21" i="3"/>
  <c r="X44"/>
  <c r="H22" i="12" l="1"/>
  <c r="R22" s="1"/>
  <c r="R20"/>
  <c r="G73" i="22"/>
  <c r="L73" s="1"/>
  <c r="N16" l="1"/>
  <c r="G74"/>
  <c r="L74" s="1"/>
  <c r="E9" i="16"/>
  <c r="AF58" i="37"/>
  <c r="G77" i="22"/>
  <c r="G6" i="21"/>
  <c r="F6"/>
  <c r="H7"/>
  <c r="E8" i="16" l="1"/>
  <c r="M8" i="21"/>
  <c r="AU341" i="4"/>
  <c r="K11" i="16" l="1"/>
  <c r="F55" i="14"/>
  <c r="E56"/>
  <c r="AA37"/>
  <c r="G57"/>
  <c r="F40" i="13"/>
  <c r="H39"/>
  <c r="G49" i="10"/>
  <c r="F50"/>
  <c r="F49"/>
  <c r="H41" i="7"/>
  <c r="Y25" i="3"/>
  <c r="X25"/>
  <c r="S41" i="7" l="1"/>
  <c r="Q41"/>
  <c r="F51" i="10"/>
  <c r="H50"/>
  <c r="G40" i="13"/>
  <c r="F57" i="14"/>
  <c r="H56"/>
  <c r="G51" i="10"/>
  <c r="G42" i="7"/>
  <c r="J28" i="16" l="1"/>
  <c r="J26"/>
  <c r="AY171" i="4" l="1"/>
  <c r="AX172"/>
  <c r="AX171"/>
  <c r="N121" i="21"/>
  <c r="I12" i="16" l="1"/>
  <c r="U159" i="37"/>
  <c r="T159"/>
  <c r="X12" i="3"/>
  <c r="X8"/>
  <c r="X7"/>
  <c r="X6"/>
  <c r="I14" i="16" l="1"/>
  <c r="Y195" i="2"/>
  <c r="Z44" i="3"/>
  <c r="Z43"/>
  <c r="Y43"/>
  <c r="L5" i="22"/>
  <c r="X46" i="3"/>
  <c r="E14" i="23"/>
  <c r="E110"/>
  <c r="E63"/>
  <c r="E50"/>
  <c r="E120" s="1"/>
  <c r="Y44" i="3"/>
  <c r="Y42"/>
  <c r="L17" i="22"/>
  <c r="E5"/>
  <c r="N17" s="1"/>
  <c r="H155" i="21"/>
  <c r="H156"/>
  <c r="H157"/>
  <c r="P12" i="22" l="1"/>
  <c r="G76"/>
  <c r="G120" i="23"/>
  <c r="G18" i="25"/>
  <c r="F16"/>
  <c r="F5" s="1"/>
  <c r="N2" i="22" s="1"/>
  <c r="O2" s="1"/>
  <c r="Q2" s="1"/>
  <c r="E16" i="25"/>
  <c r="M46" i="22"/>
  <c r="M47" s="1"/>
  <c r="V548" i="4" l="1"/>
  <c r="V549" s="1"/>
  <c r="G16" i="25"/>
  <c r="G5" s="1"/>
  <c r="E5"/>
  <c r="K17"/>
  <c r="P13" i="22"/>
  <c r="P14" s="1"/>
  <c r="P16" s="1"/>
  <c r="P46"/>
  <c r="F76"/>
  <c r="F77" s="1"/>
  <c r="M14"/>
  <c r="G67"/>
  <c r="L67" s="1"/>
  <c r="X33" i="3"/>
  <c r="X14"/>
  <c r="AA34" i="14"/>
  <c r="H50" i="23"/>
  <c r="H52" s="1"/>
  <c r="H63"/>
  <c r="I16"/>
  <c r="F38" i="24"/>
  <c r="M12" i="22" l="1"/>
  <c r="I15" i="16"/>
  <c r="I13"/>
  <c r="Y207" i="2"/>
  <c r="Y200"/>
  <c r="U155" i="37"/>
  <c r="AX370" i="4"/>
  <c r="I10" i="16"/>
  <c r="X48" i="3"/>
  <c r="U36" i="13"/>
  <c r="L2" i="25"/>
  <c r="L4"/>
  <c r="L13"/>
  <c r="L14"/>
  <c r="G162" i="21"/>
  <c r="M52"/>
  <c r="M32"/>
  <c r="Y46" i="3" l="1"/>
  <c r="K46"/>
  <c r="J8" i="16"/>
  <c r="I12" i="3"/>
  <c r="V29" i="37"/>
  <c r="T156"/>
  <c r="U156"/>
  <c r="U157" s="1"/>
  <c r="T123"/>
  <c r="U123"/>
  <c r="V127"/>
  <c r="T107"/>
  <c r="AF85"/>
  <c r="T102"/>
  <c r="S163"/>
  <c r="X176" i="2"/>
  <c r="Y176" s="1"/>
  <c r="Y146"/>
  <c r="Z124"/>
  <c r="D124"/>
  <c r="AF77" i="37" s="1"/>
  <c r="E124" i="2"/>
  <c r="C124"/>
  <c r="F178"/>
  <c r="F196"/>
  <c r="K196" s="1"/>
  <c r="F197"/>
  <c r="K197" s="1"/>
  <c r="F198"/>
  <c r="K198" s="1"/>
  <c r="F199"/>
  <c r="K199" s="1"/>
  <c r="F200"/>
  <c r="K200" s="1"/>
  <c r="F201"/>
  <c r="K201" s="1"/>
  <c r="F202"/>
  <c r="K202" s="1"/>
  <c r="F203"/>
  <c r="K203" s="1"/>
  <c r="F204"/>
  <c r="K204" s="1"/>
  <c r="F205"/>
  <c r="K205" s="1"/>
  <c r="F206"/>
  <c r="K206" s="1"/>
  <c r="F207"/>
  <c r="K207" s="1"/>
  <c r="F208"/>
  <c r="K208" s="1"/>
  <c r="F209"/>
  <c r="K209" s="1"/>
  <c r="F195"/>
  <c r="K195" s="1"/>
  <c r="Y212"/>
  <c r="Y213"/>
  <c r="F126"/>
  <c r="K126" s="1"/>
  <c r="F127"/>
  <c r="K127" s="1"/>
  <c r="F128"/>
  <c r="K128" s="1"/>
  <c r="F129"/>
  <c r="K129" s="1"/>
  <c r="F130"/>
  <c r="K130" s="1"/>
  <c r="F131"/>
  <c r="K131" s="1"/>
  <c r="F132"/>
  <c r="K132" s="1"/>
  <c r="F133"/>
  <c r="K133" s="1"/>
  <c r="F134"/>
  <c r="K134" s="1"/>
  <c r="F135"/>
  <c r="K135" s="1"/>
  <c r="F136"/>
  <c r="K136" s="1"/>
  <c r="F137"/>
  <c r="K137" s="1"/>
  <c r="F138"/>
  <c r="K138" s="1"/>
  <c r="F139"/>
  <c r="K139" s="1"/>
  <c r="F140"/>
  <c r="K140" s="1"/>
  <c r="F141"/>
  <c r="K141" s="1"/>
  <c r="F142"/>
  <c r="K142" s="1"/>
  <c r="F143"/>
  <c r="K143" s="1"/>
  <c r="F144"/>
  <c r="K144" s="1"/>
  <c r="F145"/>
  <c r="K145" s="1"/>
  <c r="F146"/>
  <c r="K146" s="1"/>
  <c r="F147"/>
  <c r="K147" s="1"/>
  <c r="F148"/>
  <c r="K148" s="1"/>
  <c r="F149"/>
  <c r="K149" s="1"/>
  <c r="F150"/>
  <c r="K150" s="1"/>
  <c r="F151"/>
  <c r="K151" s="1"/>
  <c r="F152"/>
  <c r="F153"/>
  <c r="K153" s="1"/>
  <c r="F154"/>
  <c r="K154" s="1"/>
  <c r="F155"/>
  <c r="K155" s="1"/>
  <c r="F156"/>
  <c r="K156" s="1"/>
  <c r="F157"/>
  <c r="K157" s="1"/>
  <c r="F158"/>
  <c r="K158" s="1"/>
  <c r="F159"/>
  <c r="K159" s="1"/>
  <c r="F160"/>
  <c r="K160" s="1"/>
  <c r="F161"/>
  <c r="F162"/>
  <c r="K162" s="1"/>
  <c r="F163"/>
  <c r="K163" s="1"/>
  <c r="F164"/>
  <c r="K164" s="1"/>
  <c r="F165"/>
  <c r="K165" s="1"/>
  <c r="F166"/>
  <c r="K166" s="1"/>
  <c r="F167"/>
  <c r="K167" s="1"/>
  <c r="F168"/>
  <c r="K168" s="1"/>
  <c r="F169"/>
  <c r="K169" s="1"/>
  <c r="F170"/>
  <c r="K170" s="1"/>
  <c r="F171"/>
  <c r="F172"/>
  <c r="K172" s="1"/>
  <c r="F173"/>
  <c r="K173" s="1"/>
  <c r="F174"/>
  <c r="K174" s="1"/>
  <c r="F125"/>
  <c r="K125" s="1"/>
  <c r="F114"/>
  <c r="K114" s="1"/>
  <c r="F115"/>
  <c r="K115" s="1"/>
  <c r="F116"/>
  <c r="K116" s="1"/>
  <c r="F117"/>
  <c r="K117" s="1"/>
  <c r="F118"/>
  <c r="K118" s="1"/>
  <c r="F119"/>
  <c r="K119" s="1"/>
  <c r="F120"/>
  <c r="K120" s="1"/>
  <c r="F121"/>
  <c r="K121" s="1"/>
  <c r="F122"/>
  <c r="K122" s="1"/>
  <c r="F123"/>
  <c r="K123" s="1"/>
  <c r="F113"/>
  <c r="K113" s="1"/>
  <c r="X41"/>
  <c r="F43"/>
  <c r="K43" s="1"/>
  <c r="F44"/>
  <c r="K44" s="1"/>
  <c r="F45"/>
  <c r="K45" s="1"/>
  <c r="F46"/>
  <c r="K46" s="1"/>
  <c r="F47"/>
  <c r="K47" s="1"/>
  <c r="F48"/>
  <c r="K48" s="1"/>
  <c r="F49"/>
  <c r="K49" s="1"/>
  <c r="F50"/>
  <c r="K50" s="1"/>
  <c r="F51"/>
  <c r="K51" s="1"/>
  <c r="F52"/>
  <c r="K52" s="1"/>
  <c r="F53"/>
  <c r="K53" s="1"/>
  <c r="F54"/>
  <c r="K54" s="1"/>
  <c r="F55"/>
  <c r="K55" s="1"/>
  <c r="F56"/>
  <c r="K56" s="1"/>
  <c r="F57"/>
  <c r="K57" s="1"/>
  <c r="F58"/>
  <c r="K58" s="1"/>
  <c r="F59"/>
  <c r="K59" s="1"/>
  <c r="F60"/>
  <c r="K60" s="1"/>
  <c r="F61"/>
  <c r="K61" s="1"/>
  <c r="F62"/>
  <c r="K62" s="1"/>
  <c r="F63"/>
  <c r="K63" s="1"/>
  <c r="F64"/>
  <c r="K64" s="1"/>
  <c r="F65"/>
  <c r="K65" s="1"/>
  <c r="F66"/>
  <c r="K66" s="1"/>
  <c r="F67"/>
  <c r="K67" s="1"/>
  <c r="F68"/>
  <c r="K68" s="1"/>
  <c r="F69"/>
  <c r="K69" s="1"/>
  <c r="F70"/>
  <c r="K70" s="1"/>
  <c r="F71"/>
  <c r="K71" s="1"/>
  <c r="F72"/>
  <c r="K72" s="1"/>
  <c r="F73"/>
  <c r="K73" s="1"/>
  <c r="F74"/>
  <c r="K74" s="1"/>
  <c r="F75"/>
  <c r="K75" s="1"/>
  <c r="F76"/>
  <c r="K76" s="1"/>
  <c r="F77"/>
  <c r="K77" s="1"/>
  <c r="F78"/>
  <c r="K78" s="1"/>
  <c r="F79"/>
  <c r="K79" s="1"/>
  <c r="F80"/>
  <c r="K80" s="1"/>
  <c r="F81"/>
  <c r="K81" s="1"/>
  <c r="F82"/>
  <c r="K82" s="1"/>
  <c r="F83"/>
  <c r="K83" s="1"/>
  <c r="F84"/>
  <c r="K84" s="1"/>
  <c r="F85"/>
  <c r="K85" s="1"/>
  <c r="F86"/>
  <c r="K86" s="1"/>
  <c r="F87"/>
  <c r="K87" s="1"/>
  <c r="F88"/>
  <c r="K88" s="1"/>
  <c r="F89"/>
  <c r="F90"/>
  <c r="K90" s="1"/>
  <c r="F91"/>
  <c r="K91" s="1"/>
  <c r="F92"/>
  <c r="K92" s="1"/>
  <c r="F93"/>
  <c r="K93" s="1"/>
  <c r="F94"/>
  <c r="K94" s="1"/>
  <c r="F95"/>
  <c r="K95" s="1"/>
  <c r="F96"/>
  <c r="K96" s="1"/>
  <c r="F97"/>
  <c r="K97" s="1"/>
  <c r="F98"/>
  <c r="K98" s="1"/>
  <c r="F99"/>
  <c r="K99" s="1"/>
  <c r="F100"/>
  <c r="K100" s="1"/>
  <c r="F101"/>
  <c r="K101" s="1"/>
  <c r="F102"/>
  <c r="K102" s="1"/>
  <c r="F103"/>
  <c r="K103" s="1"/>
  <c r="F104"/>
  <c r="K104" s="1"/>
  <c r="F105"/>
  <c r="K105" s="1"/>
  <c r="F106"/>
  <c r="K106" s="1"/>
  <c r="F42"/>
  <c r="K42" s="1"/>
  <c r="F39"/>
  <c r="K39" s="1"/>
  <c r="E177"/>
  <c r="F179"/>
  <c r="K179" s="1"/>
  <c r="F180"/>
  <c r="K180" s="1"/>
  <c r="F181"/>
  <c r="F182"/>
  <c r="K182" s="1"/>
  <c r="F183"/>
  <c r="K183" s="1"/>
  <c r="F184"/>
  <c r="K184" s="1"/>
  <c r="F185"/>
  <c r="K185" s="1"/>
  <c r="F186"/>
  <c r="K186" s="1"/>
  <c r="F187"/>
  <c r="K187" s="1"/>
  <c r="F188"/>
  <c r="K188" s="1"/>
  <c r="F189"/>
  <c r="K189" s="1"/>
  <c r="F190"/>
  <c r="K190" s="1"/>
  <c r="F191"/>
  <c r="F192"/>
  <c r="K192" s="1"/>
  <c r="F193"/>
  <c r="K193" s="1"/>
  <c r="F175"/>
  <c r="K175" s="1"/>
  <c r="X5"/>
  <c r="X38"/>
  <c r="Y38" s="1"/>
  <c r="X112"/>
  <c r="Y112" s="1"/>
  <c r="F210"/>
  <c r="K210" s="1"/>
  <c r="X214"/>
  <c r="E214"/>
  <c r="E194"/>
  <c r="F26"/>
  <c r="K26" s="1"/>
  <c r="AA127" i="37" l="1"/>
  <c r="W46" i="3"/>
  <c r="P46"/>
  <c r="AA29" i="37"/>
  <c r="X89" i="2"/>
  <c r="Y89" s="1"/>
  <c r="K89"/>
  <c r="S181"/>
  <c r="S161"/>
  <c r="K161"/>
  <c r="S171"/>
  <c r="K171"/>
  <c r="S152"/>
  <c r="K152"/>
  <c r="S178"/>
  <c r="K178"/>
  <c r="U163" i="37"/>
  <c r="E217" i="2"/>
  <c r="S191"/>
  <c r="S187"/>
  <c r="S183"/>
  <c r="W179"/>
  <c r="S179"/>
  <c r="W106"/>
  <c r="S106"/>
  <c r="S102"/>
  <c r="S98"/>
  <c r="S94"/>
  <c r="S90"/>
  <c r="W86"/>
  <c r="S86"/>
  <c r="S82"/>
  <c r="W78"/>
  <c r="S78"/>
  <c r="S74"/>
  <c r="S70"/>
  <c r="S66"/>
  <c r="S62"/>
  <c r="S58"/>
  <c r="S54"/>
  <c r="S50"/>
  <c r="S46"/>
  <c r="S121"/>
  <c r="S117"/>
  <c r="S125"/>
  <c r="S167"/>
  <c r="S163"/>
  <c r="S159"/>
  <c r="S155"/>
  <c r="S151"/>
  <c r="S147"/>
  <c r="S143"/>
  <c r="S139"/>
  <c r="S135"/>
  <c r="S131"/>
  <c r="W127"/>
  <c r="S127"/>
  <c r="S195"/>
  <c r="S206"/>
  <c r="S202"/>
  <c r="S198"/>
  <c r="S26"/>
  <c r="S210"/>
  <c r="S175"/>
  <c r="S190"/>
  <c r="S186"/>
  <c r="S182"/>
  <c r="W105"/>
  <c r="S105"/>
  <c r="S101"/>
  <c r="W97"/>
  <c r="S97"/>
  <c r="W93"/>
  <c r="S93"/>
  <c r="W89"/>
  <c r="S89"/>
  <c r="S85"/>
  <c r="S81"/>
  <c r="W77"/>
  <c r="S77"/>
  <c r="W73"/>
  <c r="S73"/>
  <c r="W69"/>
  <c r="S69"/>
  <c r="S65"/>
  <c r="W61"/>
  <c r="S61"/>
  <c r="W57"/>
  <c r="S57"/>
  <c r="W53"/>
  <c r="S53"/>
  <c r="S49"/>
  <c r="S45"/>
  <c r="W113"/>
  <c r="S113"/>
  <c r="W120"/>
  <c r="S120"/>
  <c r="W116"/>
  <c r="S116"/>
  <c r="S174"/>
  <c r="S170"/>
  <c r="S166"/>
  <c r="S162"/>
  <c r="S158"/>
  <c r="S154"/>
  <c r="S150"/>
  <c r="S146"/>
  <c r="S142"/>
  <c r="S138"/>
  <c r="S134"/>
  <c r="S130"/>
  <c r="S126"/>
  <c r="S209"/>
  <c r="S205"/>
  <c r="S201"/>
  <c r="S197"/>
  <c r="U46" i="3"/>
  <c r="X120" i="2"/>
  <c r="Y120" s="1"/>
  <c r="X73"/>
  <c r="Y73" s="1"/>
  <c r="S193"/>
  <c r="S189"/>
  <c r="S185"/>
  <c r="W39"/>
  <c r="S39"/>
  <c r="S104"/>
  <c r="S100"/>
  <c r="W96"/>
  <c r="S96"/>
  <c r="S92"/>
  <c r="S88"/>
  <c r="S84"/>
  <c r="S80"/>
  <c r="S76"/>
  <c r="S72"/>
  <c r="W68"/>
  <c r="S68"/>
  <c r="S64"/>
  <c r="W60"/>
  <c r="S60"/>
  <c r="S56"/>
  <c r="W52"/>
  <c r="S52"/>
  <c r="S48"/>
  <c r="S44"/>
  <c r="S123"/>
  <c r="S119"/>
  <c r="S115"/>
  <c r="W173"/>
  <c r="S173"/>
  <c r="S169"/>
  <c r="W165"/>
  <c r="S165"/>
  <c r="S157"/>
  <c r="W153"/>
  <c r="S153"/>
  <c r="S149"/>
  <c r="W145"/>
  <c r="S145"/>
  <c r="W141"/>
  <c r="S141"/>
  <c r="S137"/>
  <c r="W133"/>
  <c r="S133"/>
  <c r="S129"/>
  <c r="S208"/>
  <c r="S204"/>
  <c r="S200"/>
  <c r="S196"/>
  <c r="X116"/>
  <c r="Y116" s="1"/>
  <c r="S192"/>
  <c r="S188"/>
  <c r="S184"/>
  <c r="S180"/>
  <c r="W42"/>
  <c r="S42"/>
  <c r="S103"/>
  <c r="S99"/>
  <c r="S95"/>
  <c r="S91"/>
  <c r="W87"/>
  <c r="S87"/>
  <c r="S83"/>
  <c r="S79"/>
  <c r="S75"/>
  <c r="S71"/>
  <c r="S67"/>
  <c r="S63"/>
  <c r="S59"/>
  <c r="S55"/>
  <c r="S51"/>
  <c r="S47"/>
  <c r="S43"/>
  <c r="S122"/>
  <c r="S118"/>
  <c r="W114"/>
  <c r="S114"/>
  <c r="S172"/>
  <c r="S168"/>
  <c r="W164"/>
  <c r="S164"/>
  <c r="S160"/>
  <c r="W156"/>
  <c r="S156"/>
  <c r="W148"/>
  <c r="S148"/>
  <c r="W144"/>
  <c r="S144"/>
  <c r="W140"/>
  <c r="S140"/>
  <c r="S136"/>
  <c r="W132"/>
  <c r="S132"/>
  <c r="S128"/>
  <c r="S207"/>
  <c r="S203"/>
  <c r="S199"/>
  <c r="X57"/>
  <c r="Y57" s="1"/>
  <c r="X93"/>
  <c r="Y93" s="1"/>
  <c r="X114"/>
  <c r="Y114" s="1"/>
  <c r="X187"/>
  <c r="Y187" s="1"/>
  <c r="W187"/>
  <c r="X94"/>
  <c r="Y94" s="1"/>
  <c r="W94"/>
  <c r="X70"/>
  <c r="Y70" s="1"/>
  <c r="W70"/>
  <c r="X54"/>
  <c r="Y54" s="1"/>
  <c r="W54"/>
  <c r="X46"/>
  <c r="Y46" s="1"/>
  <c r="W46"/>
  <c r="X121"/>
  <c r="Y121" s="1"/>
  <c r="W121"/>
  <c r="X171"/>
  <c r="Y171" s="1"/>
  <c r="W171"/>
  <c r="X163"/>
  <c r="Y163" s="1"/>
  <c r="W163"/>
  <c r="X155"/>
  <c r="Y155" s="1"/>
  <c r="W155"/>
  <c r="X143"/>
  <c r="Y143" s="1"/>
  <c r="W143"/>
  <c r="X135"/>
  <c r="Y135" s="1"/>
  <c r="W135"/>
  <c r="X131"/>
  <c r="Y131" s="1"/>
  <c r="W131"/>
  <c r="X195"/>
  <c r="W195"/>
  <c r="X202"/>
  <c r="Y202" s="1"/>
  <c r="W202"/>
  <c r="X210"/>
  <c r="Y210" s="1"/>
  <c r="W210"/>
  <c r="X175"/>
  <c r="Y175" s="1"/>
  <c r="W175"/>
  <c r="X190"/>
  <c r="W190"/>
  <c r="X186"/>
  <c r="Y186" s="1"/>
  <c r="W186"/>
  <c r="X182"/>
  <c r="W182"/>
  <c r="X101"/>
  <c r="Y101" s="1"/>
  <c r="W101"/>
  <c r="X85"/>
  <c r="Y85" s="1"/>
  <c r="W85"/>
  <c r="X81"/>
  <c r="Y81" s="1"/>
  <c r="W81"/>
  <c r="X65"/>
  <c r="Y65" s="1"/>
  <c r="W65"/>
  <c r="X49"/>
  <c r="Y49" s="1"/>
  <c r="W49"/>
  <c r="X45"/>
  <c r="Y45" s="1"/>
  <c r="W45"/>
  <c r="X174"/>
  <c r="Y174" s="1"/>
  <c r="W174"/>
  <c r="X170"/>
  <c r="Y170" s="1"/>
  <c r="W170"/>
  <c r="X166"/>
  <c r="Y166" s="1"/>
  <c r="W166"/>
  <c r="X162"/>
  <c r="Y162" s="1"/>
  <c r="W162"/>
  <c r="X158"/>
  <c r="Y158" s="1"/>
  <c r="W158"/>
  <c r="X154"/>
  <c r="Y154" s="1"/>
  <c r="W154"/>
  <c r="X150"/>
  <c r="Y150" s="1"/>
  <c r="W150"/>
  <c r="X146"/>
  <c r="Z132" s="1"/>
  <c r="W146"/>
  <c r="X142"/>
  <c r="Y142" s="1"/>
  <c r="W142"/>
  <c r="X138"/>
  <c r="Y138" s="1"/>
  <c r="W138"/>
  <c r="X134"/>
  <c r="Y134" s="1"/>
  <c r="W134"/>
  <c r="X130"/>
  <c r="Y130" s="1"/>
  <c r="W130"/>
  <c r="X126"/>
  <c r="Y126" s="1"/>
  <c r="W126"/>
  <c r="X209"/>
  <c r="W209"/>
  <c r="X205"/>
  <c r="Y205" s="1"/>
  <c r="W205"/>
  <c r="X201"/>
  <c r="Y201" s="1"/>
  <c r="W201"/>
  <c r="X197"/>
  <c r="Y197" s="1"/>
  <c r="W197"/>
  <c r="X183"/>
  <c r="Y183" s="1"/>
  <c r="W183"/>
  <c r="X102"/>
  <c r="Y102" s="1"/>
  <c r="W102"/>
  <c r="X90"/>
  <c r="Y90" s="1"/>
  <c r="W90"/>
  <c r="X82"/>
  <c r="Y82" s="1"/>
  <c r="W82"/>
  <c r="X66"/>
  <c r="Y66" s="1"/>
  <c r="W66"/>
  <c r="X50"/>
  <c r="Y50" s="1"/>
  <c r="W50"/>
  <c r="X125"/>
  <c r="Y125" s="1"/>
  <c r="W125"/>
  <c r="X147"/>
  <c r="Y147" s="1"/>
  <c r="W147"/>
  <c r="C37"/>
  <c r="X189"/>
  <c r="Y189" s="1"/>
  <c r="W189"/>
  <c r="X181"/>
  <c r="W181"/>
  <c r="X104"/>
  <c r="Y104" s="1"/>
  <c r="W104"/>
  <c r="X100"/>
  <c r="Y100" s="1"/>
  <c r="W100"/>
  <c r="X92"/>
  <c r="Y92" s="1"/>
  <c r="W92"/>
  <c r="X88"/>
  <c r="Y88" s="1"/>
  <c r="W88"/>
  <c r="X84"/>
  <c r="Y84" s="1"/>
  <c r="W84"/>
  <c r="X80"/>
  <c r="Y80" s="1"/>
  <c r="W80"/>
  <c r="X76"/>
  <c r="Y76" s="1"/>
  <c r="W76"/>
  <c r="X72"/>
  <c r="Y72" s="1"/>
  <c r="W72"/>
  <c r="X64"/>
  <c r="Y64" s="1"/>
  <c r="W64"/>
  <c r="X56"/>
  <c r="Y56" s="1"/>
  <c r="W56"/>
  <c r="X48"/>
  <c r="Y48" s="1"/>
  <c r="W48"/>
  <c r="X44"/>
  <c r="Y44" s="1"/>
  <c r="W44"/>
  <c r="X123"/>
  <c r="Y123" s="1"/>
  <c r="W123"/>
  <c r="X119"/>
  <c r="Y119" s="1"/>
  <c r="W119"/>
  <c r="X115"/>
  <c r="Y115" s="1"/>
  <c r="W115"/>
  <c r="X169"/>
  <c r="Y169" s="1"/>
  <c r="W169"/>
  <c r="X161"/>
  <c r="Y161" s="1"/>
  <c r="W161"/>
  <c r="X157"/>
  <c r="Y157" s="1"/>
  <c r="W157"/>
  <c r="X149"/>
  <c r="Y149" s="1"/>
  <c r="W149"/>
  <c r="X137"/>
  <c r="Y137" s="1"/>
  <c r="W137"/>
  <c r="X129"/>
  <c r="W129"/>
  <c r="X208"/>
  <c r="W208"/>
  <c r="X204"/>
  <c r="Y204" s="1"/>
  <c r="W204"/>
  <c r="X200"/>
  <c r="W200"/>
  <c r="X196"/>
  <c r="Y196" s="1"/>
  <c r="W196"/>
  <c r="X191"/>
  <c r="Y191" s="1"/>
  <c r="W191"/>
  <c r="X98"/>
  <c r="Y98" s="1"/>
  <c r="W98"/>
  <c r="X74"/>
  <c r="Y74" s="1"/>
  <c r="W74"/>
  <c r="X62"/>
  <c r="Y62" s="1"/>
  <c r="W62"/>
  <c r="X58"/>
  <c r="Y58" s="1"/>
  <c r="W58"/>
  <c r="X117"/>
  <c r="Y117" s="1"/>
  <c r="W117"/>
  <c r="X167"/>
  <c r="Y167" s="1"/>
  <c r="W167"/>
  <c r="X159"/>
  <c r="Y159" s="1"/>
  <c r="W159"/>
  <c r="X151"/>
  <c r="Y151" s="1"/>
  <c r="W151"/>
  <c r="X139"/>
  <c r="Y139" s="1"/>
  <c r="W139"/>
  <c r="X206"/>
  <c r="Y206" s="1"/>
  <c r="W206"/>
  <c r="X198"/>
  <c r="Y198" s="1"/>
  <c r="W198"/>
  <c r="X193"/>
  <c r="W193"/>
  <c r="X185"/>
  <c r="Y185" s="1"/>
  <c r="W185"/>
  <c r="X26"/>
  <c r="Y26" s="1"/>
  <c r="W26"/>
  <c r="X192"/>
  <c r="Y192" s="1"/>
  <c r="W192"/>
  <c r="X188"/>
  <c r="Y188" s="1"/>
  <c r="W188"/>
  <c r="X184"/>
  <c r="Y184" s="1"/>
  <c r="W184"/>
  <c r="X180"/>
  <c r="Y180" s="1"/>
  <c r="W180"/>
  <c r="X103"/>
  <c r="Y103" s="1"/>
  <c r="W103"/>
  <c r="X99"/>
  <c r="Y99" s="1"/>
  <c r="W99"/>
  <c r="X95"/>
  <c r="Y95" s="1"/>
  <c r="W95"/>
  <c r="X91"/>
  <c r="Y91" s="1"/>
  <c r="W91"/>
  <c r="X83"/>
  <c r="Y83" s="1"/>
  <c r="W83"/>
  <c r="X79"/>
  <c r="Y79" s="1"/>
  <c r="W79"/>
  <c r="X75"/>
  <c r="Y75" s="1"/>
  <c r="W75"/>
  <c r="X71"/>
  <c r="Y71" s="1"/>
  <c r="W71"/>
  <c r="X67"/>
  <c r="Y67" s="1"/>
  <c r="W67"/>
  <c r="X63"/>
  <c r="Y63" s="1"/>
  <c r="W63"/>
  <c r="X59"/>
  <c r="Y59" s="1"/>
  <c r="W59"/>
  <c r="X55"/>
  <c r="Y55" s="1"/>
  <c r="W55"/>
  <c r="X51"/>
  <c r="Y51" s="1"/>
  <c r="W51"/>
  <c r="X47"/>
  <c r="Y47" s="1"/>
  <c r="W47"/>
  <c r="X43"/>
  <c r="Y43" s="1"/>
  <c r="W43"/>
  <c r="X122"/>
  <c r="Y122" s="1"/>
  <c r="W122"/>
  <c r="X118"/>
  <c r="Y118" s="1"/>
  <c r="W118"/>
  <c r="X172"/>
  <c r="Y172" s="1"/>
  <c r="W172"/>
  <c r="X168"/>
  <c r="Y168" s="1"/>
  <c r="W168"/>
  <c r="X160"/>
  <c r="Y160" s="1"/>
  <c r="W160"/>
  <c r="X152"/>
  <c r="Y152" s="1"/>
  <c r="W152"/>
  <c r="X136"/>
  <c r="Y136" s="1"/>
  <c r="W136"/>
  <c r="X128"/>
  <c r="Y128" s="1"/>
  <c r="W128"/>
  <c r="X207"/>
  <c r="W207"/>
  <c r="X203"/>
  <c r="Y203" s="1"/>
  <c r="W203"/>
  <c r="X199"/>
  <c r="W199"/>
  <c r="X178"/>
  <c r="Y178" s="1"/>
  <c r="W178"/>
  <c r="E211"/>
  <c r="F214"/>
  <c r="F177"/>
  <c r="K177" s="1"/>
  <c r="X179"/>
  <c r="F124"/>
  <c r="X141"/>
  <c r="Y141" s="1"/>
  <c r="X148"/>
  <c r="Y148" s="1"/>
  <c r="X144"/>
  <c r="Y144" s="1"/>
  <c r="X140"/>
  <c r="Y140" s="1"/>
  <c r="X132"/>
  <c r="Y132" s="1"/>
  <c r="X173"/>
  <c r="Y173" s="1"/>
  <c r="X165"/>
  <c r="Y165" s="1"/>
  <c r="X156"/>
  <c r="Y156" s="1"/>
  <c r="X127"/>
  <c r="Y127" s="1"/>
  <c r="X145"/>
  <c r="Y145" s="1"/>
  <c r="X133"/>
  <c r="Y133" s="1"/>
  <c r="Z125"/>
  <c r="X153"/>
  <c r="Y153" s="1"/>
  <c r="Y129"/>
  <c r="F41"/>
  <c r="K41" s="1"/>
  <c r="Y214" l="1"/>
  <c r="X124"/>
  <c r="Y124" s="1"/>
  <c r="K124"/>
  <c r="X177"/>
  <c r="S177"/>
  <c r="S214"/>
  <c r="S124"/>
  <c r="W214"/>
  <c r="W124"/>
  <c r="W177"/>
  <c r="E215"/>
  <c r="F32"/>
  <c r="K32" s="1"/>
  <c r="C7"/>
  <c r="F17"/>
  <c r="K17" s="1"/>
  <c r="F8"/>
  <c r="J27" i="3"/>
  <c r="S8" i="2" l="1"/>
  <c r="K8"/>
  <c r="U548" i="4"/>
  <c r="U549" s="1"/>
  <c r="S32" i="2"/>
  <c r="S17"/>
  <c r="X8"/>
  <c r="Y8" s="1"/>
  <c r="W8"/>
  <c r="X17"/>
  <c r="Y17" s="1"/>
  <c r="W17"/>
  <c r="X32"/>
  <c r="Y32" s="1"/>
  <c r="W32"/>
  <c r="J13" i="16"/>
  <c r="J15"/>
  <c r="I61" i="40"/>
  <c r="F61"/>
  <c r="I60"/>
  <c r="F60"/>
  <c r="I59"/>
  <c r="F59"/>
  <c r="I58"/>
  <c r="F58"/>
  <c r="I57"/>
  <c r="F57"/>
  <c r="H56"/>
  <c r="E56"/>
  <c r="D56"/>
  <c r="I55"/>
  <c r="F55"/>
  <c r="I54"/>
  <c r="F54"/>
  <c r="I53"/>
  <c r="F53"/>
  <c r="I52"/>
  <c r="F52"/>
  <c r="I51"/>
  <c r="F51"/>
  <c r="I50"/>
  <c r="F50"/>
  <c r="H49"/>
  <c r="G49"/>
  <c r="E49"/>
  <c r="D49"/>
  <c r="I48"/>
  <c r="F48"/>
  <c r="I47"/>
  <c r="F47"/>
  <c r="I46"/>
  <c r="F46"/>
  <c r="I45"/>
  <c r="F45"/>
  <c r="I44"/>
  <c r="F44"/>
  <c r="I43"/>
  <c r="F43"/>
  <c r="I42"/>
  <c r="F42"/>
  <c r="H41"/>
  <c r="G41"/>
  <c r="E41"/>
  <c r="D41"/>
  <c r="I40"/>
  <c r="F40"/>
  <c r="I39"/>
  <c r="F39"/>
  <c r="I38"/>
  <c r="F38"/>
  <c r="I37"/>
  <c r="F37"/>
  <c r="I36"/>
  <c r="F36"/>
  <c r="I35"/>
  <c r="F35"/>
  <c r="H34"/>
  <c r="G34"/>
  <c r="E34"/>
  <c r="D34"/>
  <c r="I33"/>
  <c r="F33"/>
  <c r="I32"/>
  <c r="F32"/>
  <c r="I31"/>
  <c r="F31"/>
  <c r="I30"/>
  <c r="F30"/>
  <c r="I29"/>
  <c r="F29"/>
  <c r="I28"/>
  <c r="F28"/>
  <c r="H27"/>
  <c r="G27"/>
  <c r="E27"/>
  <c r="D27"/>
  <c r="I26"/>
  <c r="F26"/>
  <c r="I25"/>
  <c r="F25"/>
  <c r="I24"/>
  <c r="F24"/>
  <c r="I23"/>
  <c r="F23"/>
  <c r="I22"/>
  <c r="F22"/>
  <c r="I21"/>
  <c r="F21"/>
  <c r="H20"/>
  <c r="G20"/>
  <c r="E20"/>
  <c r="D20"/>
  <c r="I19"/>
  <c r="I18"/>
  <c r="F18"/>
  <c r="I17"/>
  <c r="F17"/>
  <c r="I16"/>
  <c r="F16"/>
  <c r="I15"/>
  <c r="F15"/>
  <c r="I14"/>
  <c r="F14"/>
  <c r="H13"/>
  <c r="G13"/>
  <c r="E13"/>
  <c r="D13"/>
  <c r="I12"/>
  <c r="F12"/>
  <c r="I11"/>
  <c r="F11"/>
  <c r="I10"/>
  <c r="F10"/>
  <c r="I9"/>
  <c r="F9"/>
  <c r="I8"/>
  <c r="F8"/>
  <c r="I7"/>
  <c r="F7"/>
  <c r="I6"/>
  <c r="F6"/>
  <c r="I5"/>
  <c r="F5"/>
  <c r="H4"/>
  <c r="G4"/>
  <c r="E4"/>
  <c r="D4"/>
  <c r="M60" i="39"/>
  <c r="H60"/>
  <c r="M59"/>
  <c r="H59"/>
  <c r="M58"/>
  <c r="H58"/>
  <c r="M57"/>
  <c r="H57"/>
  <c r="M56"/>
  <c r="H56"/>
  <c r="R55"/>
  <c r="Q55"/>
  <c r="P55"/>
  <c r="O55"/>
  <c r="L55"/>
  <c r="K55"/>
  <c r="J55"/>
  <c r="G55"/>
  <c r="F55"/>
  <c r="E55"/>
  <c r="M54"/>
  <c r="H54"/>
  <c r="M53"/>
  <c r="H53"/>
  <c r="M52"/>
  <c r="H52"/>
  <c r="M51"/>
  <c r="H51"/>
  <c r="M50"/>
  <c r="H50"/>
  <c r="M49"/>
  <c r="H49"/>
  <c r="M48"/>
  <c r="H48"/>
  <c r="R47"/>
  <c r="Q47"/>
  <c r="P47"/>
  <c r="O47"/>
  <c r="L47"/>
  <c r="K47"/>
  <c r="J47"/>
  <c r="G47"/>
  <c r="F47"/>
  <c r="E47"/>
  <c r="M46"/>
  <c r="H46"/>
  <c r="M45"/>
  <c r="H45"/>
  <c r="M44"/>
  <c r="H44"/>
  <c r="M43"/>
  <c r="H43"/>
  <c r="M42"/>
  <c r="H42"/>
  <c r="M41"/>
  <c r="H41"/>
  <c r="R40"/>
  <c r="Q40"/>
  <c r="P40"/>
  <c r="O40"/>
  <c r="L40"/>
  <c r="K40"/>
  <c r="J40"/>
  <c r="G40"/>
  <c r="F40"/>
  <c r="E40"/>
  <c r="M39"/>
  <c r="H39"/>
  <c r="M38"/>
  <c r="H38"/>
  <c r="M37"/>
  <c r="H37"/>
  <c r="M36"/>
  <c r="H36"/>
  <c r="M35"/>
  <c r="H35"/>
  <c r="M34"/>
  <c r="H34"/>
  <c r="R33"/>
  <c r="Q33"/>
  <c r="P33"/>
  <c r="O33"/>
  <c r="L33"/>
  <c r="K33"/>
  <c r="J33"/>
  <c r="G33"/>
  <c r="F33"/>
  <c r="E33"/>
  <c r="M32"/>
  <c r="H32"/>
  <c r="M31"/>
  <c r="H31"/>
  <c r="M30"/>
  <c r="H30"/>
  <c r="M29"/>
  <c r="H29"/>
  <c r="M28"/>
  <c r="H28"/>
  <c r="M27"/>
  <c r="H27"/>
  <c r="M26"/>
  <c r="H26"/>
  <c r="R25"/>
  <c r="Q25"/>
  <c r="P25"/>
  <c r="O25"/>
  <c r="L25"/>
  <c r="K25"/>
  <c r="J25"/>
  <c r="G25"/>
  <c r="F25"/>
  <c r="E25"/>
  <c r="M24"/>
  <c r="H24"/>
  <c r="M23"/>
  <c r="H23"/>
  <c r="M22"/>
  <c r="H22"/>
  <c r="M21"/>
  <c r="H21"/>
  <c r="M20"/>
  <c r="H20"/>
  <c r="R19"/>
  <c r="Q19"/>
  <c r="P19"/>
  <c r="O19"/>
  <c r="L19"/>
  <c r="K19"/>
  <c r="J19"/>
  <c r="G19"/>
  <c r="F19"/>
  <c r="E19"/>
  <c r="M18"/>
  <c r="H18"/>
  <c r="M17"/>
  <c r="H17"/>
  <c r="M16"/>
  <c r="H16"/>
  <c r="M15"/>
  <c r="H15"/>
  <c r="M14"/>
  <c r="H14"/>
  <c r="M13"/>
  <c r="H13"/>
  <c r="R12"/>
  <c r="Q12"/>
  <c r="P12"/>
  <c r="O12"/>
  <c r="N12"/>
  <c r="L12"/>
  <c r="K12"/>
  <c r="J12"/>
  <c r="I12"/>
  <c r="G12"/>
  <c r="F12"/>
  <c r="E12"/>
  <c r="D12"/>
  <c r="M11"/>
  <c r="H11"/>
  <c r="M10"/>
  <c r="H10"/>
  <c r="M9"/>
  <c r="H9"/>
  <c r="M8"/>
  <c r="H8"/>
  <c r="M7"/>
  <c r="H7"/>
  <c r="R6"/>
  <c r="Q6"/>
  <c r="P6"/>
  <c r="O6"/>
  <c r="N6"/>
  <c r="L6"/>
  <c r="K6"/>
  <c r="J6"/>
  <c r="I6"/>
  <c r="G6"/>
  <c r="F6"/>
  <c r="E6"/>
  <c r="D6"/>
  <c r="V19" l="1"/>
  <c r="Z25"/>
  <c r="F20" i="40"/>
  <c r="I34"/>
  <c r="I4"/>
  <c r="G3"/>
  <c r="F13"/>
  <c r="D3"/>
  <c r="F49"/>
  <c r="I49"/>
  <c r="F56"/>
  <c r="I20"/>
  <c r="F27"/>
  <c r="I27"/>
  <c r="F34"/>
  <c r="T33" i="39"/>
  <c r="M33"/>
  <c r="E3" i="40"/>
  <c r="F41"/>
  <c r="I41"/>
  <c r="H3"/>
  <c r="I13"/>
  <c r="I56"/>
  <c r="F4"/>
  <c r="T12" i="39"/>
  <c r="X12" s="1"/>
  <c r="T25"/>
  <c r="H25"/>
  <c r="M12"/>
  <c r="T47"/>
  <c r="X47" s="1"/>
  <c r="R5"/>
  <c r="T55"/>
  <c r="X55" s="1"/>
  <c r="M6"/>
  <c r="M19"/>
  <c r="M25"/>
  <c r="H40"/>
  <c r="M47"/>
  <c r="H6"/>
  <c r="H19"/>
  <c r="M40"/>
  <c r="M55"/>
  <c r="H12"/>
  <c r="H33"/>
  <c r="H47"/>
  <c r="H55"/>
  <c r="T19"/>
  <c r="X19" s="1"/>
  <c r="Y19" l="1"/>
  <c r="AA19"/>
  <c r="F3" i="40"/>
  <c r="AC47" i="37"/>
  <c r="V5" i="39"/>
  <c r="AC40" i="37" s="1"/>
  <c r="Z19" i="39"/>
  <c r="I3" i="40"/>
  <c r="T5" i="39"/>
  <c r="X5" s="1"/>
  <c r="V156" i="37"/>
  <c r="L156"/>
  <c r="J156"/>
  <c r="G156"/>
  <c r="E156"/>
  <c r="V154"/>
  <c r="R154"/>
  <c r="M154"/>
  <c r="H154"/>
  <c r="S153"/>
  <c r="AE153" s="1"/>
  <c r="R153"/>
  <c r="M153"/>
  <c r="H153"/>
  <c r="S152"/>
  <c r="AE152" s="1"/>
  <c r="R152"/>
  <c r="M152"/>
  <c r="H152"/>
  <c r="S151"/>
  <c r="AE151" s="1"/>
  <c r="R151"/>
  <c r="M151"/>
  <c r="H151"/>
  <c r="S150"/>
  <c r="AE150" s="1"/>
  <c r="R150"/>
  <c r="M150"/>
  <c r="H150"/>
  <c r="S149"/>
  <c r="AE149" s="1"/>
  <c r="R149"/>
  <c r="M149"/>
  <c r="H149"/>
  <c r="S148"/>
  <c r="AE148" s="1"/>
  <c r="R148"/>
  <c r="M148"/>
  <c r="H148"/>
  <c r="S147"/>
  <c r="AE147" s="1"/>
  <c r="R147"/>
  <c r="M147"/>
  <c r="H147"/>
  <c r="S146"/>
  <c r="AE146" s="1"/>
  <c r="R146"/>
  <c r="M146"/>
  <c r="H146"/>
  <c r="S145"/>
  <c r="AE145" s="1"/>
  <c r="R145"/>
  <c r="M145"/>
  <c r="H145"/>
  <c r="U144"/>
  <c r="T144"/>
  <c r="Q144"/>
  <c r="P144"/>
  <c r="O144"/>
  <c r="N144"/>
  <c r="L144"/>
  <c r="K144"/>
  <c r="J144"/>
  <c r="I144"/>
  <c r="G144"/>
  <c r="F144"/>
  <c r="E144"/>
  <c r="D144"/>
  <c r="S143"/>
  <c r="AE143" s="1"/>
  <c r="R143"/>
  <c r="M143"/>
  <c r="H143"/>
  <c r="S142"/>
  <c r="AE142" s="1"/>
  <c r="R142"/>
  <c r="M142"/>
  <c r="H142"/>
  <c r="S141"/>
  <c r="AE141" s="1"/>
  <c r="R141"/>
  <c r="M141"/>
  <c r="H141"/>
  <c r="V140"/>
  <c r="S139"/>
  <c r="AE139" s="1"/>
  <c r="R139"/>
  <c r="M139"/>
  <c r="H139"/>
  <c r="S138"/>
  <c r="AE138" s="1"/>
  <c r="R138"/>
  <c r="M138"/>
  <c r="H138"/>
  <c r="S137"/>
  <c r="AE137" s="1"/>
  <c r="R137"/>
  <c r="M137"/>
  <c r="H137"/>
  <c r="S136"/>
  <c r="AE136" s="1"/>
  <c r="R136"/>
  <c r="M136"/>
  <c r="H136"/>
  <c r="S135"/>
  <c r="AE135" s="1"/>
  <c r="R135"/>
  <c r="M135"/>
  <c r="H135"/>
  <c r="S134"/>
  <c r="AE134" s="1"/>
  <c r="R134"/>
  <c r="M134"/>
  <c r="H134"/>
  <c r="S133"/>
  <c r="AE133" s="1"/>
  <c r="R133"/>
  <c r="M133"/>
  <c r="H133"/>
  <c r="S132"/>
  <c r="AE132" s="1"/>
  <c r="R132"/>
  <c r="M132"/>
  <c r="H132"/>
  <c r="S131"/>
  <c r="AE131" s="1"/>
  <c r="R131"/>
  <c r="M131"/>
  <c r="H131"/>
  <c r="U130"/>
  <c r="T130"/>
  <c r="Q130"/>
  <c r="P130"/>
  <c r="O130"/>
  <c r="N130"/>
  <c r="L130"/>
  <c r="K130"/>
  <c r="J130"/>
  <c r="I130"/>
  <c r="G130"/>
  <c r="F130"/>
  <c r="E130"/>
  <c r="D130"/>
  <c r="V129"/>
  <c r="R129"/>
  <c r="R128" s="1"/>
  <c r="M129"/>
  <c r="M128" s="1"/>
  <c r="H129"/>
  <c r="H128" s="1"/>
  <c r="U128"/>
  <c r="T128"/>
  <c r="S128"/>
  <c r="Q128"/>
  <c r="P128"/>
  <c r="O128"/>
  <c r="N128"/>
  <c r="L128"/>
  <c r="K128"/>
  <c r="J128"/>
  <c r="I128"/>
  <c r="G128"/>
  <c r="F128"/>
  <c r="E128"/>
  <c r="D128"/>
  <c r="V126"/>
  <c r="R126"/>
  <c r="M126"/>
  <c r="H126"/>
  <c r="V125"/>
  <c r="R125"/>
  <c r="M125"/>
  <c r="H125"/>
  <c r="S124"/>
  <c r="AE124" s="1"/>
  <c r="R124"/>
  <c r="W124" s="1"/>
  <c r="M124"/>
  <c r="H124"/>
  <c r="Q123"/>
  <c r="P123"/>
  <c r="O123"/>
  <c r="N123"/>
  <c r="L123"/>
  <c r="K123"/>
  <c r="J123"/>
  <c r="I123"/>
  <c r="G123"/>
  <c r="F123"/>
  <c r="E123"/>
  <c r="D123"/>
  <c r="V122"/>
  <c r="R122"/>
  <c r="M122"/>
  <c r="H122"/>
  <c r="V121"/>
  <c r="R121"/>
  <c r="M121"/>
  <c r="H121"/>
  <c r="S120"/>
  <c r="AE120" s="1"/>
  <c r="R120"/>
  <c r="W120" s="1"/>
  <c r="M120"/>
  <c r="H120"/>
  <c r="V119"/>
  <c r="R119"/>
  <c r="M119"/>
  <c r="H119"/>
  <c r="V118"/>
  <c r="R118"/>
  <c r="M118"/>
  <c r="H118"/>
  <c r="V117"/>
  <c r="R117"/>
  <c r="M117"/>
  <c r="H117"/>
  <c r="U116"/>
  <c r="T116"/>
  <c r="Q116"/>
  <c r="P116"/>
  <c r="O116"/>
  <c r="N116"/>
  <c r="L116"/>
  <c r="K116"/>
  <c r="J116"/>
  <c r="I116"/>
  <c r="G116"/>
  <c r="F116"/>
  <c r="E116"/>
  <c r="D116"/>
  <c r="S115"/>
  <c r="AE115" s="1"/>
  <c r="R115"/>
  <c r="M115"/>
  <c r="H115"/>
  <c r="V114"/>
  <c r="R114"/>
  <c r="M114"/>
  <c r="H114"/>
  <c r="U113"/>
  <c r="T113"/>
  <c r="Q113"/>
  <c r="P113"/>
  <c r="O113"/>
  <c r="N113"/>
  <c r="L113"/>
  <c r="K113"/>
  <c r="J113"/>
  <c r="I113"/>
  <c r="G113"/>
  <c r="F113"/>
  <c r="E113"/>
  <c r="D113"/>
  <c r="V112"/>
  <c r="R112"/>
  <c r="M112"/>
  <c r="H112"/>
  <c r="V111"/>
  <c r="AA111" s="1"/>
  <c r="R111"/>
  <c r="M111"/>
  <c r="H111"/>
  <c r="V110"/>
  <c r="R110"/>
  <c r="M110"/>
  <c r="H110"/>
  <c r="V109"/>
  <c r="AA109" s="1"/>
  <c r="R109"/>
  <c r="M109"/>
  <c r="H109"/>
  <c r="S108"/>
  <c r="AE108" s="1"/>
  <c r="R108"/>
  <c r="M108"/>
  <c r="H108"/>
  <c r="U107"/>
  <c r="Q107"/>
  <c r="P107"/>
  <c r="O107"/>
  <c r="N107"/>
  <c r="L107"/>
  <c r="K107"/>
  <c r="J107"/>
  <c r="I107"/>
  <c r="G107"/>
  <c r="F107"/>
  <c r="E107"/>
  <c r="D107"/>
  <c r="V106"/>
  <c r="AA106" s="1"/>
  <c r="R106"/>
  <c r="M106"/>
  <c r="H106"/>
  <c r="V105"/>
  <c r="AA105" s="1"/>
  <c r="R105"/>
  <c r="M105"/>
  <c r="H105"/>
  <c r="V104"/>
  <c r="AA104" s="1"/>
  <c r="R104"/>
  <c r="M104"/>
  <c r="H104"/>
  <c r="S103"/>
  <c r="AE103" s="1"/>
  <c r="R103"/>
  <c r="M103"/>
  <c r="H103"/>
  <c r="U102"/>
  <c r="Q102"/>
  <c r="P102"/>
  <c r="O102"/>
  <c r="N102"/>
  <c r="L102"/>
  <c r="K102"/>
  <c r="J102"/>
  <c r="I102"/>
  <c r="G102"/>
  <c r="F102"/>
  <c r="E102"/>
  <c r="D102"/>
  <c r="T101"/>
  <c r="R101"/>
  <c r="M101"/>
  <c r="H101"/>
  <c r="S100"/>
  <c r="AE100" s="1"/>
  <c r="R100"/>
  <c r="M100"/>
  <c r="H100"/>
  <c r="S99"/>
  <c r="AE99" s="1"/>
  <c r="R99"/>
  <c r="M99"/>
  <c r="H99"/>
  <c r="S98"/>
  <c r="AE98" s="1"/>
  <c r="R98"/>
  <c r="M98"/>
  <c r="H98"/>
  <c r="S97"/>
  <c r="AE97" s="1"/>
  <c r="R97"/>
  <c r="M97"/>
  <c r="H97"/>
  <c r="T96"/>
  <c r="R96"/>
  <c r="M96"/>
  <c r="H96"/>
  <c r="S95"/>
  <c r="AE95" s="1"/>
  <c r="R95"/>
  <c r="M95"/>
  <c r="H95"/>
  <c r="S94"/>
  <c r="AE94" s="1"/>
  <c r="R94"/>
  <c r="M94"/>
  <c r="H94"/>
  <c r="S93"/>
  <c r="AE93" s="1"/>
  <c r="R93"/>
  <c r="M93"/>
  <c r="H93"/>
  <c r="S92"/>
  <c r="AE92" s="1"/>
  <c r="R92"/>
  <c r="M92"/>
  <c r="H92"/>
  <c r="S91"/>
  <c r="AE91" s="1"/>
  <c r="R91"/>
  <c r="M91"/>
  <c r="H91"/>
  <c r="S90"/>
  <c r="AE90" s="1"/>
  <c r="R90"/>
  <c r="M90"/>
  <c r="H90"/>
  <c r="S89"/>
  <c r="AE89" s="1"/>
  <c r="R89"/>
  <c r="M89"/>
  <c r="H89"/>
  <c r="T88"/>
  <c r="R88"/>
  <c r="M88"/>
  <c r="H88"/>
  <c r="S87"/>
  <c r="AE87" s="1"/>
  <c r="R87"/>
  <c r="M87"/>
  <c r="H87"/>
  <c r="S86"/>
  <c r="AE86" s="1"/>
  <c r="R86"/>
  <c r="M86"/>
  <c r="H86"/>
  <c r="U85"/>
  <c r="Q85"/>
  <c r="P85"/>
  <c r="O85"/>
  <c r="N85"/>
  <c r="L85"/>
  <c r="K85"/>
  <c r="J85"/>
  <c r="I85"/>
  <c r="G85"/>
  <c r="F85"/>
  <c r="E85"/>
  <c r="D85"/>
  <c r="V84"/>
  <c r="AA84" s="1"/>
  <c r="R84"/>
  <c r="M84"/>
  <c r="H84"/>
  <c r="V83"/>
  <c r="AA83" s="1"/>
  <c r="R83"/>
  <c r="M83"/>
  <c r="H83"/>
  <c r="V82"/>
  <c r="AA82" s="1"/>
  <c r="R82"/>
  <c r="M82"/>
  <c r="H82"/>
  <c r="S81"/>
  <c r="AE81" s="1"/>
  <c r="R81"/>
  <c r="M81"/>
  <c r="H81"/>
  <c r="U80"/>
  <c r="T80"/>
  <c r="Q80"/>
  <c r="P80"/>
  <c r="O80"/>
  <c r="N80"/>
  <c r="L80"/>
  <c r="K80"/>
  <c r="J80"/>
  <c r="I80"/>
  <c r="G80"/>
  <c r="F80"/>
  <c r="E80"/>
  <c r="D80"/>
  <c r="V79"/>
  <c r="AA79" s="1"/>
  <c r="R79"/>
  <c r="R78" s="1"/>
  <c r="M79"/>
  <c r="M78" s="1"/>
  <c r="H79"/>
  <c r="H78" s="1"/>
  <c r="S78"/>
  <c r="Q78"/>
  <c r="N78"/>
  <c r="L78"/>
  <c r="I78"/>
  <c r="G78"/>
  <c r="D78"/>
  <c r="V76"/>
  <c r="R76"/>
  <c r="M76"/>
  <c r="H76"/>
  <c r="V75"/>
  <c r="R75"/>
  <c r="M75"/>
  <c r="H75"/>
  <c r="T74"/>
  <c r="R74"/>
  <c r="M74"/>
  <c r="H74"/>
  <c r="V73"/>
  <c r="R73"/>
  <c r="M73"/>
  <c r="H73"/>
  <c r="V72"/>
  <c r="R72"/>
  <c r="M72"/>
  <c r="H72"/>
  <c r="T71"/>
  <c r="R71"/>
  <c r="M71"/>
  <c r="H71"/>
  <c r="T70"/>
  <c r="R70"/>
  <c r="M70"/>
  <c r="H70"/>
  <c r="T69"/>
  <c r="R69"/>
  <c r="M69"/>
  <c r="H69"/>
  <c r="V68"/>
  <c r="R68"/>
  <c r="M68"/>
  <c r="H68"/>
  <c r="V67"/>
  <c r="R67"/>
  <c r="M67"/>
  <c r="H67"/>
  <c r="V66"/>
  <c r="R66"/>
  <c r="M66"/>
  <c r="H66"/>
  <c r="V65"/>
  <c r="R65"/>
  <c r="M65"/>
  <c r="H65"/>
  <c r="V64"/>
  <c r="AA64" s="1"/>
  <c r="V63"/>
  <c r="AA63" s="1"/>
  <c r="U62"/>
  <c r="T62"/>
  <c r="R62"/>
  <c r="Q62"/>
  <c r="P62"/>
  <c r="O62"/>
  <c r="M62"/>
  <c r="L62"/>
  <c r="K62"/>
  <c r="J62"/>
  <c r="H62"/>
  <c r="G62"/>
  <c r="F62"/>
  <c r="E62"/>
  <c r="V61"/>
  <c r="AA61" s="1"/>
  <c r="V60"/>
  <c r="AA60" s="1"/>
  <c r="U59"/>
  <c r="T59"/>
  <c r="R59"/>
  <c r="Q59"/>
  <c r="P59"/>
  <c r="O59"/>
  <c r="M59"/>
  <c r="L59"/>
  <c r="K59"/>
  <c r="J59"/>
  <c r="H59"/>
  <c r="G59"/>
  <c r="F59"/>
  <c r="E59"/>
  <c r="AG61"/>
  <c r="V58"/>
  <c r="AA58" s="1"/>
  <c r="V57"/>
  <c r="AA57" s="1"/>
  <c r="U56"/>
  <c r="T56"/>
  <c r="R56"/>
  <c r="Q56"/>
  <c r="P56"/>
  <c r="O56"/>
  <c r="M56"/>
  <c r="L56"/>
  <c r="K56"/>
  <c r="J56"/>
  <c r="H56"/>
  <c r="G56"/>
  <c r="F56"/>
  <c r="E56"/>
  <c r="V55"/>
  <c r="AA55" s="1"/>
  <c r="V54"/>
  <c r="AA54" s="1"/>
  <c r="U53"/>
  <c r="T53"/>
  <c r="R53"/>
  <c r="Q53"/>
  <c r="P53"/>
  <c r="O53"/>
  <c r="M53"/>
  <c r="L53"/>
  <c r="K53"/>
  <c r="J53"/>
  <c r="H53"/>
  <c r="G53"/>
  <c r="F53"/>
  <c r="E53"/>
  <c r="V52"/>
  <c r="AA52" s="1"/>
  <c r="V51"/>
  <c r="AA51" s="1"/>
  <c r="U50"/>
  <c r="T50"/>
  <c r="R50"/>
  <c r="Q50"/>
  <c r="P50"/>
  <c r="O50"/>
  <c r="M50"/>
  <c r="L50"/>
  <c r="K50"/>
  <c r="J50"/>
  <c r="H50"/>
  <c r="G50"/>
  <c r="F50"/>
  <c r="E50"/>
  <c r="V49"/>
  <c r="AA49" s="1"/>
  <c r="V48"/>
  <c r="AA48" s="1"/>
  <c r="U47"/>
  <c r="T47"/>
  <c r="R47"/>
  <c r="Q47"/>
  <c r="P47"/>
  <c r="O47"/>
  <c r="M47"/>
  <c r="L47"/>
  <c r="K47"/>
  <c r="J47"/>
  <c r="H47"/>
  <c r="G47"/>
  <c r="F47"/>
  <c r="E47"/>
  <c r="V46"/>
  <c r="AA46" s="1"/>
  <c r="V45"/>
  <c r="AA45" s="1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V43"/>
  <c r="AA43" s="1"/>
  <c r="V42"/>
  <c r="AA42" s="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V39"/>
  <c r="R39"/>
  <c r="M39"/>
  <c r="H39"/>
  <c r="V38"/>
  <c r="R38"/>
  <c r="M38"/>
  <c r="H38"/>
  <c r="U37"/>
  <c r="T37"/>
  <c r="S37"/>
  <c r="Q37"/>
  <c r="P37"/>
  <c r="O37"/>
  <c r="N37"/>
  <c r="L37"/>
  <c r="K37"/>
  <c r="J37"/>
  <c r="I37"/>
  <c r="G37"/>
  <c r="F37"/>
  <c r="E37"/>
  <c r="D37"/>
  <c r="V35"/>
  <c r="R35"/>
  <c r="M35"/>
  <c r="H35"/>
  <c r="V34"/>
  <c r="R34"/>
  <c r="M34"/>
  <c r="H34"/>
  <c r="V33"/>
  <c r="R33"/>
  <c r="M33"/>
  <c r="H33"/>
  <c r="V32"/>
  <c r="R32"/>
  <c r="M32"/>
  <c r="H32"/>
  <c r="U31"/>
  <c r="T31"/>
  <c r="S31"/>
  <c r="Q31"/>
  <c r="P31"/>
  <c r="O31"/>
  <c r="N31"/>
  <c r="L31"/>
  <c r="K31"/>
  <c r="J31"/>
  <c r="I31"/>
  <c r="G31"/>
  <c r="F31"/>
  <c r="E31"/>
  <c r="D31"/>
  <c r="V30"/>
  <c r="AA30" s="1"/>
  <c r="R30"/>
  <c r="M30"/>
  <c r="H30"/>
  <c r="R29"/>
  <c r="M29"/>
  <c r="H29"/>
  <c r="V28"/>
  <c r="R28"/>
  <c r="M28"/>
  <c r="H28"/>
  <c r="V27"/>
  <c r="R27"/>
  <c r="M27"/>
  <c r="H27"/>
  <c r="U26"/>
  <c r="T26"/>
  <c r="S26"/>
  <c r="Q26"/>
  <c r="P26"/>
  <c r="O26"/>
  <c r="N26"/>
  <c r="L26"/>
  <c r="K26"/>
  <c r="J26"/>
  <c r="I26"/>
  <c r="G26"/>
  <c r="F26"/>
  <c r="E26"/>
  <c r="D26"/>
  <c r="V25"/>
  <c r="AA25" s="1"/>
  <c r="R25"/>
  <c r="M25"/>
  <c r="H25"/>
  <c r="V24"/>
  <c r="R24"/>
  <c r="M24"/>
  <c r="H24"/>
  <c r="V23"/>
  <c r="R23"/>
  <c r="M23"/>
  <c r="H23"/>
  <c r="V22"/>
  <c r="R22"/>
  <c r="M22"/>
  <c r="H22"/>
  <c r="V21"/>
  <c r="R21"/>
  <c r="M21"/>
  <c r="H21"/>
  <c r="V20"/>
  <c r="R20"/>
  <c r="M20"/>
  <c r="H20"/>
  <c r="V19"/>
  <c r="R19"/>
  <c r="M19"/>
  <c r="H19"/>
  <c r="U18"/>
  <c r="U17" s="1"/>
  <c r="T18"/>
  <c r="Y18" s="1"/>
  <c r="R18"/>
  <c r="M18"/>
  <c r="H18"/>
  <c r="S17"/>
  <c r="Q17"/>
  <c r="P17"/>
  <c r="O17"/>
  <c r="N17"/>
  <c r="L17"/>
  <c r="K17"/>
  <c r="J17"/>
  <c r="I17"/>
  <c r="G17"/>
  <c r="F17"/>
  <c r="E17"/>
  <c r="D17"/>
  <c r="V16"/>
  <c r="R16"/>
  <c r="M16"/>
  <c r="H16"/>
  <c r="V15"/>
  <c r="R15"/>
  <c r="M15"/>
  <c r="H15"/>
  <c r="U14"/>
  <c r="T14"/>
  <c r="S14"/>
  <c r="Q14"/>
  <c r="P14"/>
  <c r="O14"/>
  <c r="N14"/>
  <c r="L14"/>
  <c r="K14"/>
  <c r="J14"/>
  <c r="I14"/>
  <c r="G14"/>
  <c r="F14"/>
  <c r="E14"/>
  <c r="D14"/>
  <c r="U13"/>
  <c r="T13"/>
  <c r="Y13" s="1"/>
  <c r="AD13" s="1"/>
  <c r="R13"/>
  <c r="M13"/>
  <c r="H13"/>
  <c r="U12"/>
  <c r="T12"/>
  <c r="Y12" s="1"/>
  <c r="AD12" s="1"/>
  <c r="R12"/>
  <c r="M12"/>
  <c r="H12"/>
  <c r="U11"/>
  <c r="T11"/>
  <c r="Y11" s="1"/>
  <c r="AD11" s="1"/>
  <c r="R11"/>
  <c r="M11"/>
  <c r="H11"/>
  <c r="U10"/>
  <c r="T10"/>
  <c r="Y10" s="1"/>
  <c r="AD10" s="1"/>
  <c r="R10"/>
  <c r="M10"/>
  <c r="H10"/>
  <c r="U9"/>
  <c r="T9"/>
  <c r="Y9" s="1"/>
  <c r="AD9" s="1"/>
  <c r="R9"/>
  <c r="M9"/>
  <c r="H9"/>
  <c r="S8"/>
  <c r="Q8"/>
  <c r="P8"/>
  <c r="O8"/>
  <c r="N8"/>
  <c r="L8"/>
  <c r="K8"/>
  <c r="J8"/>
  <c r="I8"/>
  <c r="G8"/>
  <c r="F8"/>
  <c r="E8"/>
  <c r="D8"/>
  <c r="Y17" l="1"/>
  <c r="AD17" s="1"/>
  <c r="AD18"/>
  <c r="AA32"/>
  <c r="AA33"/>
  <c r="AA34"/>
  <c r="AA35"/>
  <c r="AA65"/>
  <c r="AA66"/>
  <c r="AA67"/>
  <c r="AA68"/>
  <c r="AA72"/>
  <c r="AA73"/>
  <c r="AA75"/>
  <c r="AA76"/>
  <c r="AA110"/>
  <c r="AA112"/>
  <c r="AA117"/>
  <c r="AA118"/>
  <c r="AA119"/>
  <c r="AA121"/>
  <c r="AA122"/>
  <c r="AA125"/>
  <c r="AA126"/>
  <c r="AA154"/>
  <c r="AA15"/>
  <c r="AA16"/>
  <c r="AA156"/>
  <c r="AA27"/>
  <c r="AA28"/>
  <c r="AA114"/>
  <c r="AA140"/>
  <c r="AA19"/>
  <c r="AA20"/>
  <c r="AA21"/>
  <c r="AA22"/>
  <c r="AA23"/>
  <c r="AA24"/>
  <c r="AA38"/>
  <c r="AA39"/>
  <c r="AA129"/>
  <c r="Y8"/>
  <c r="W116"/>
  <c r="Z120"/>
  <c r="AD120" s="1"/>
  <c r="Z124"/>
  <c r="AD124" s="1"/>
  <c r="W123"/>
  <c r="AE17"/>
  <c r="AE78"/>
  <c r="AE128"/>
  <c r="AE14"/>
  <c r="AE37"/>
  <c r="AF86"/>
  <c r="AE8"/>
  <c r="AE26"/>
  <c r="AE31"/>
  <c r="AE41"/>
  <c r="AE44"/>
  <c r="S113"/>
  <c r="AE113" s="1"/>
  <c r="O6" i="21"/>
  <c r="T25" i="2"/>
  <c r="M107" i="37"/>
  <c r="S7"/>
  <c r="L11" i="16"/>
  <c r="M11" s="1"/>
  <c r="S123" i="37"/>
  <c r="AE123" s="1"/>
  <c r="D7"/>
  <c r="D6" s="1"/>
  <c r="N7"/>
  <c r="N6" s="1"/>
  <c r="I7"/>
  <c r="I6" s="1"/>
  <c r="V69"/>
  <c r="AA69" s="1"/>
  <c r="V78"/>
  <c r="AA78" s="1"/>
  <c r="S102"/>
  <c r="AE102" s="1"/>
  <c r="V132"/>
  <c r="V136"/>
  <c r="V141"/>
  <c r="AA141" s="1"/>
  <c r="V143"/>
  <c r="AA143" s="1"/>
  <c r="V148"/>
  <c r="AA148" s="1"/>
  <c r="V150"/>
  <c r="AA150" s="1"/>
  <c r="V152"/>
  <c r="AA152" s="1"/>
  <c r="V10"/>
  <c r="AA10" s="1"/>
  <c r="V87"/>
  <c r="AA87" s="1"/>
  <c r="V89"/>
  <c r="AA89" s="1"/>
  <c r="V91"/>
  <c r="AA91" s="1"/>
  <c r="V93"/>
  <c r="AA93" s="1"/>
  <c r="V96"/>
  <c r="AA96" s="1"/>
  <c r="V98"/>
  <c r="AA98" s="1"/>
  <c r="V100"/>
  <c r="AA100" s="1"/>
  <c r="V139"/>
  <c r="AA139" s="1"/>
  <c r="V146"/>
  <c r="AA146" s="1"/>
  <c r="V71"/>
  <c r="AA71" s="1"/>
  <c r="V95"/>
  <c r="AA95" s="1"/>
  <c r="V134"/>
  <c r="V70"/>
  <c r="AA70" s="1"/>
  <c r="V74"/>
  <c r="AA74" s="1"/>
  <c r="V94"/>
  <c r="AA94" s="1"/>
  <c r="V101"/>
  <c r="AA101" s="1"/>
  <c r="V115"/>
  <c r="AA115" s="1"/>
  <c r="V120"/>
  <c r="V133"/>
  <c r="AA133" s="1"/>
  <c r="V135"/>
  <c r="AA135" s="1"/>
  <c r="V137"/>
  <c r="V142"/>
  <c r="V149"/>
  <c r="AA149" s="1"/>
  <c r="V151"/>
  <c r="AA151" s="1"/>
  <c r="V153"/>
  <c r="AA153" s="1"/>
  <c r="V11"/>
  <c r="AA11" s="1"/>
  <c r="V18"/>
  <c r="AA18" s="1"/>
  <c r="S107"/>
  <c r="AE107" s="1"/>
  <c r="V9"/>
  <c r="AA9" s="1"/>
  <c r="R8"/>
  <c r="V13"/>
  <c r="AA13" s="1"/>
  <c r="T17"/>
  <c r="Q7"/>
  <c r="Q6" s="1"/>
  <c r="V12"/>
  <c r="AA12" s="1"/>
  <c r="V14"/>
  <c r="AA14" s="1"/>
  <c r="M14"/>
  <c r="S80"/>
  <c r="AE80" s="1"/>
  <c r="V86"/>
  <c r="AA86" s="1"/>
  <c r="V90"/>
  <c r="AA90" s="1"/>
  <c r="V92"/>
  <c r="AA92" s="1"/>
  <c r="V97"/>
  <c r="AA97" s="1"/>
  <c r="V99"/>
  <c r="AA99" s="1"/>
  <c r="V124"/>
  <c r="V128"/>
  <c r="AA128" s="1"/>
  <c r="V138"/>
  <c r="V145"/>
  <c r="V147"/>
  <c r="O7"/>
  <c r="O6" s="1"/>
  <c r="V26"/>
  <c r="AA26" s="1"/>
  <c r="R37"/>
  <c r="F40"/>
  <c r="H116"/>
  <c r="U8"/>
  <c r="U7" s="1"/>
  <c r="U6" s="1"/>
  <c r="H17"/>
  <c r="M80"/>
  <c r="K7"/>
  <c r="K6" s="1"/>
  <c r="L77"/>
  <c r="M113"/>
  <c r="T8"/>
  <c r="H8"/>
  <c r="H26"/>
  <c r="R31"/>
  <c r="V37"/>
  <c r="M37"/>
  <c r="H80"/>
  <c r="R123"/>
  <c r="M8"/>
  <c r="V44"/>
  <c r="AA44" s="1"/>
  <c r="V56"/>
  <c r="AA56" s="1"/>
  <c r="V59"/>
  <c r="AA59" s="1"/>
  <c r="V62"/>
  <c r="AA62" s="1"/>
  <c r="D77"/>
  <c r="D36" s="1"/>
  <c r="S130"/>
  <c r="AE130" s="1"/>
  <c r="G7"/>
  <c r="G6" s="1"/>
  <c r="L7"/>
  <c r="L6" s="1"/>
  <c r="P7"/>
  <c r="P6" s="1"/>
  <c r="H14"/>
  <c r="R14"/>
  <c r="V31"/>
  <c r="AA31" s="1"/>
  <c r="H37"/>
  <c r="E7"/>
  <c r="E6" s="1"/>
  <c r="J7"/>
  <c r="J6" s="1"/>
  <c r="R17"/>
  <c r="R26"/>
  <c r="H40"/>
  <c r="L40"/>
  <c r="P40"/>
  <c r="R40"/>
  <c r="K77"/>
  <c r="M123"/>
  <c r="V53"/>
  <c r="AA53" s="1"/>
  <c r="G77"/>
  <c r="G40"/>
  <c r="Q40"/>
  <c r="K40"/>
  <c r="N77"/>
  <c r="N36" s="1"/>
  <c r="H107"/>
  <c r="V131"/>
  <c r="AA131" s="1"/>
  <c r="H130"/>
  <c r="F7"/>
  <c r="F6" s="1"/>
  <c r="M17"/>
  <c r="M26"/>
  <c r="M31"/>
  <c r="V41"/>
  <c r="AA41" s="1"/>
  <c r="Q77"/>
  <c r="P77"/>
  <c r="R80"/>
  <c r="S85"/>
  <c r="AE85" s="1"/>
  <c r="H102"/>
  <c r="V103"/>
  <c r="M102"/>
  <c r="H113"/>
  <c r="U40"/>
  <c r="O40"/>
  <c r="O36" s="1"/>
  <c r="J77"/>
  <c r="O77"/>
  <c r="R85"/>
  <c r="R102"/>
  <c r="R116"/>
  <c r="H123"/>
  <c r="R130"/>
  <c r="H144"/>
  <c r="I77"/>
  <c r="I36" s="1"/>
  <c r="E77"/>
  <c r="F77"/>
  <c r="H85"/>
  <c r="T85"/>
  <c r="T77" s="1"/>
  <c r="V108"/>
  <c r="S116"/>
  <c r="AE116" s="1"/>
  <c r="M144"/>
  <c r="H31"/>
  <c r="T40"/>
  <c r="J40"/>
  <c r="J36" s="1"/>
  <c r="V81"/>
  <c r="M85"/>
  <c r="V88"/>
  <c r="AA88" s="1"/>
  <c r="S144"/>
  <c r="AE144" s="1"/>
  <c r="R144"/>
  <c r="E40"/>
  <c r="E36" s="1"/>
  <c r="M40"/>
  <c r="V47"/>
  <c r="AA47" s="1"/>
  <c r="V50"/>
  <c r="AA50" s="1"/>
  <c r="U77"/>
  <c r="R107"/>
  <c r="R113"/>
  <c r="M116"/>
  <c r="M130"/>
  <c r="Y7" l="1"/>
  <c r="AD8"/>
  <c r="AA37"/>
  <c r="AA81"/>
  <c r="AA103"/>
  <c r="AA145"/>
  <c r="AA136"/>
  <c r="Z123"/>
  <c r="AD123" s="1"/>
  <c r="AA124"/>
  <c r="AA132"/>
  <c r="AA138"/>
  <c r="AA137"/>
  <c r="Z116"/>
  <c r="AD116" s="1"/>
  <c r="AA108"/>
  <c r="AA134"/>
  <c r="AA147"/>
  <c r="W77"/>
  <c r="P36"/>
  <c r="P155" s="1"/>
  <c r="AE7"/>
  <c r="AU340" i="4"/>
  <c r="P3" i="21"/>
  <c r="V113" i="37"/>
  <c r="S6"/>
  <c r="AE6" s="1"/>
  <c r="V107"/>
  <c r="AA107" s="1"/>
  <c r="V123"/>
  <c r="V102"/>
  <c r="AA102" s="1"/>
  <c r="V80"/>
  <c r="AA80" s="1"/>
  <c r="V17"/>
  <c r="AA17" s="1"/>
  <c r="T14" i="2"/>
  <c r="U26"/>
  <c r="F36" i="37"/>
  <c r="F155" s="1"/>
  <c r="X164" i="2"/>
  <c r="Y164" s="1"/>
  <c r="I155" i="37"/>
  <c r="I157" s="1"/>
  <c r="V116"/>
  <c r="N155"/>
  <c r="V144"/>
  <c r="AA144" s="1"/>
  <c r="E155"/>
  <c r="E157" s="1"/>
  <c r="L36"/>
  <c r="L155" s="1"/>
  <c r="L157" s="1"/>
  <c r="T7"/>
  <c r="T6" s="1"/>
  <c r="V8"/>
  <c r="AA8" s="1"/>
  <c r="M7"/>
  <c r="M6" s="1"/>
  <c r="V130"/>
  <c r="AA130" s="1"/>
  <c r="S77"/>
  <c r="AE77" s="1"/>
  <c r="R7"/>
  <c r="R6" s="1"/>
  <c r="D155"/>
  <c r="D157" s="1"/>
  <c r="K36"/>
  <c r="K155" s="1"/>
  <c r="G36"/>
  <c r="G155" s="1"/>
  <c r="G157" s="1"/>
  <c r="H7"/>
  <c r="H6" s="1"/>
  <c r="T36"/>
  <c r="H77"/>
  <c r="H36" s="1"/>
  <c r="M77"/>
  <c r="M36" s="1"/>
  <c r="Q36"/>
  <c r="Q155" s="1"/>
  <c r="J155"/>
  <c r="J157" s="1"/>
  <c r="U36"/>
  <c r="R77"/>
  <c r="R36" s="1"/>
  <c r="V40"/>
  <c r="AA40" s="1"/>
  <c r="V85"/>
  <c r="AA85" s="1"/>
  <c r="O155"/>
  <c r="W36" l="1"/>
  <c r="W155" s="1"/>
  <c r="G216" i="2" s="1"/>
  <c r="Y6" i="37"/>
  <c r="AD6" s="1"/>
  <c r="AD7"/>
  <c r="AA116"/>
  <c r="Z77"/>
  <c r="AD77" s="1"/>
  <c r="AA123"/>
  <c r="AA113"/>
  <c r="T17" i="2"/>
  <c r="R155" i="37"/>
  <c r="R157" s="1"/>
  <c r="V7"/>
  <c r="AA7" s="1"/>
  <c r="T8" i="2"/>
  <c r="V77" i="37"/>
  <c r="S36"/>
  <c r="AE36" s="1"/>
  <c r="T155"/>
  <c r="H155"/>
  <c r="H157" s="1"/>
  <c r="M155"/>
  <c r="M157" s="1"/>
  <c r="AC156" l="1"/>
  <c r="W159"/>
  <c r="Z36"/>
  <c r="AA77"/>
  <c r="T124" i="2"/>
  <c r="V36" i="37"/>
  <c r="V6"/>
  <c r="AA6" s="1"/>
  <c r="T7" i="2"/>
  <c r="S155" i="37"/>
  <c r="T157"/>
  <c r="T160" s="1"/>
  <c r="AB33" i="3"/>
  <c r="AA31"/>
  <c r="Z40"/>
  <c r="Z48"/>
  <c r="K43"/>
  <c r="K44"/>
  <c r="P44" s="1"/>
  <c r="AD43"/>
  <c r="K29"/>
  <c r="K32"/>
  <c r="K34"/>
  <c r="J7"/>
  <c r="K37"/>
  <c r="K39"/>
  <c r="AF36"/>
  <c r="AE32"/>
  <c r="AF31"/>
  <c r="AD31"/>
  <c r="AD30"/>
  <c r="AD28"/>
  <c r="AF25"/>
  <c r="AE26"/>
  <c r="AE25"/>
  <c r="AE23"/>
  <c r="AE22"/>
  <c r="AD21"/>
  <c r="AE19"/>
  <c r="AD19"/>
  <c r="AG17"/>
  <c r="AE18"/>
  <c r="AE17"/>
  <c r="AD17"/>
  <c r="AG15"/>
  <c r="AE15"/>
  <c r="AD15"/>
  <c r="AD13"/>
  <c r="J12"/>
  <c r="J10"/>
  <c r="I10"/>
  <c r="I7"/>
  <c r="AF8"/>
  <c r="AT424" i="4"/>
  <c r="AT402"/>
  <c r="AT295"/>
  <c r="AT297"/>
  <c r="AT298"/>
  <c r="AT299"/>
  <c r="AT290"/>
  <c r="AX289"/>
  <c r="T37"/>
  <c r="AT28"/>
  <c r="AT29"/>
  <c r="AT30"/>
  <c r="AT31"/>
  <c r="AT32"/>
  <c r="AT33"/>
  <c r="AT34"/>
  <c r="AT35"/>
  <c r="AT36"/>
  <c r="T26"/>
  <c r="AT296"/>
  <c r="AT289"/>
  <c r="AT291"/>
  <c r="AT292"/>
  <c r="AT293"/>
  <c r="AT294"/>
  <c r="G12" i="16" l="1"/>
  <c r="L37" i="2"/>
  <c r="M37" s="1"/>
  <c r="Z155" i="37"/>
  <c r="J216" i="2" s="1"/>
  <c r="AD36" i="37"/>
  <c r="W37" i="3"/>
  <c r="P37"/>
  <c r="W29"/>
  <c r="P29"/>
  <c r="W34"/>
  <c r="P34"/>
  <c r="W39"/>
  <c r="P39"/>
  <c r="W32"/>
  <c r="P32"/>
  <c r="W43"/>
  <c r="P43"/>
  <c r="AA36" i="37"/>
  <c r="AH26" i="4"/>
  <c r="AH37"/>
  <c r="T19"/>
  <c r="T41" i="3"/>
  <c r="AT27" i="4"/>
  <c r="AS26"/>
  <c r="AT261"/>
  <c r="AS260"/>
  <c r="AT288"/>
  <c r="AS287"/>
  <c r="W44" i="3"/>
  <c r="Z39"/>
  <c r="U39"/>
  <c r="U29"/>
  <c r="I24" i="16"/>
  <c r="Z32" i="3"/>
  <c r="U32"/>
  <c r="Z34"/>
  <c r="U34"/>
  <c r="U44"/>
  <c r="AU260" i="4"/>
  <c r="V155" i="37"/>
  <c r="V157" s="1"/>
  <c r="T37" i="2"/>
  <c r="T6"/>
  <c r="AU26" i="4"/>
  <c r="AU287"/>
  <c r="S157" i="37"/>
  <c r="AE157" s="1"/>
  <c r="AG155"/>
  <c r="AV34" i="4"/>
  <c r="AW34" s="1"/>
  <c r="AV288"/>
  <c r="AW288" s="1"/>
  <c r="AV291"/>
  <c r="AW291" s="1"/>
  <c r="AV36"/>
  <c r="AW36" s="1"/>
  <c r="AV32"/>
  <c r="AW32" s="1"/>
  <c r="AV28"/>
  <c r="AW28" s="1"/>
  <c r="AV261"/>
  <c r="AW261" s="1"/>
  <c r="AV298"/>
  <c r="AW298" s="1"/>
  <c r="AV402"/>
  <c r="AW402" s="1"/>
  <c r="AV292"/>
  <c r="AW292" s="1"/>
  <c r="AV30"/>
  <c r="AW30" s="1"/>
  <c r="AV290"/>
  <c r="AW290" s="1"/>
  <c r="AV27"/>
  <c r="AW27" s="1"/>
  <c r="AV33"/>
  <c r="AW33" s="1"/>
  <c r="AV29"/>
  <c r="AW29" s="1"/>
  <c r="AV299"/>
  <c r="AW299" s="1"/>
  <c r="AV295"/>
  <c r="AW295" s="1"/>
  <c r="AV294"/>
  <c r="AW294" s="1"/>
  <c r="AV289"/>
  <c r="AW289" s="1"/>
  <c r="AV293"/>
  <c r="AW293" s="1"/>
  <c r="AV296"/>
  <c r="AW296" s="1"/>
  <c r="AV35"/>
  <c r="AW35" s="1"/>
  <c r="AV31"/>
  <c r="AW31" s="1"/>
  <c r="AV297"/>
  <c r="AW297" s="1"/>
  <c r="AV424"/>
  <c r="AW424" s="1"/>
  <c r="E30" i="16"/>
  <c r="E32" s="1"/>
  <c r="Z29" i="3"/>
  <c r="J6"/>
  <c r="J45" s="1"/>
  <c r="AT531" i="4"/>
  <c r="AT287"/>
  <c r="W26"/>
  <c r="W42"/>
  <c r="W41"/>
  <c r="W40"/>
  <c r="W39"/>
  <c r="AT38"/>
  <c r="AT25"/>
  <c r="AT24"/>
  <c r="AT23"/>
  <c r="AT22"/>
  <c r="AT21"/>
  <c r="AT16"/>
  <c r="AT15"/>
  <c r="AT12"/>
  <c r="BC17"/>
  <c r="BC10"/>
  <c r="V17"/>
  <c r="U17"/>
  <c r="V26"/>
  <c r="V19" s="1"/>
  <c r="U26"/>
  <c r="U19" s="1"/>
  <c r="BC85"/>
  <c r="BC82"/>
  <c r="BC80"/>
  <c r="BC72"/>
  <c r="BC60"/>
  <c r="BC56"/>
  <c r="BC68"/>
  <c r="BD68" s="1"/>
  <c r="BC66"/>
  <c r="BD66" s="1"/>
  <c r="BC64"/>
  <c r="BD64" s="1"/>
  <c r="BC62"/>
  <c r="BD62" s="1"/>
  <c r="BC61"/>
  <c r="BD61" s="1"/>
  <c r="BC78"/>
  <c r="BD57"/>
  <c r="BD58"/>
  <c r="BD59"/>
  <c r="BD63"/>
  <c r="BD65"/>
  <c r="BD67"/>
  <c r="BD69"/>
  <c r="BD70"/>
  <c r="BD71"/>
  <c r="AT49"/>
  <c r="AT52"/>
  <c r="AT53"/>
  <c r="AT58"/>
  <c r="AT59"/>
  <c r="AT62"/>
  <c r="AT63"/>
  <c r="AT64"/>
  <c r="AT65"/>
  <c r="AT66"/>
  <c r="AT67"/>
  <c r="AT68"/>
  <c r="AT69"/>
  <c r="AT70"/>
  <c r="AT71"/>
  <c r="AT74"/>
  <c r="AT75"/>
  <c r="BC47"/>
  <c r="AT84"/>
  <c r="AT88"/>
  <c r="AT87"/>
  <c r="AT95"/>
  <c r="AT94"/>
  <c r="AT93"/>
  <c r="AT101"/>
  <c r="AT100"/>
  <c r="AT98"/>
  <c r="AT108"/>
  <c r="AT111"/>
  <c r="AT112"/>
  <c r="AT117"/>
  <c r="AT118"/>
  <c r="AT119"/>
  <c r="AT122"/>
  <c r="AT123"/>
  <c r="AT124"/>
  <c r="AT125"/>
  <c r="BC102"/>
  <c r="AT134"/>
  <c r="BC132"/>
  <c r="BC162"/>
  <c r="BC153"/>
  <c r="BC143"/>
  <c r="BC141"/>
  <c r="AT137"/>
  <c r="AT138"/>
  <c r="AT139"/>
  <c r="AT140"/>
  <c r="AT145"/>
  <c r="AT146"/>
  <c r="AT147"/>
  <c r="AT148"/>
  <c r="AT149"/>
  <c r="AT150"/>
  <c r="AT151"/>
  <c r="AT152"/>
  <c r="AT155"/>
  <c r="AT156"/>
  <c r="AT157"/>
  <c r="AT158"/>
  <c r="AT159"/>
  <c r="AT160"/>
  <c r="AT165"/>
  <c r="AT166"/>
  <c r="AT167"/>
  <c r="AT168"/>
  <c r="AT187"/>
  <c r="AT188"/>
  <c r="BC185"/>
  <c r="BC170"/>
  <c r="AT204"/>
  <c r="AT205"/>
  <c r="AT206"/>
  <c r="AT207"/>
  <c r="AT208"/>
  <c r="AT189"/>
  <c r="AT190"/>
  <c r="AT191"/>
  <c r="AT192"/>
  <c r="AT193"/>
  <c r="AT194"/>
  <c r="AT195"/>
  <c r="AT196"/>
  <c r="AT197"/>
  <c r="AT198"/>
  <c r="AT199"/>
  <c r="AT200"/>
  <c r="AT201"/>
  <c r="AT172"/>
  <c r="AT173"/>
  <c r="AT174"/>
  <c r="AT175"/>
  <c r="AT176"/>
  <c r="AT177"/>
  <c r="AT178"/>
  <c r="AT179"/>
  <c r="AT180"/>
  <c r="AT181"/>
  <c r="AT182"/>
  <c r="AT183"/>
  <c r="AT184"/>
  <c r="BF204"/>
  <c r="BE204"/>
  <c r="BF185"/>
  <c r="BF170" s="1"/>
  <c r="BE185"/>
  <c r="BE170" s="1"/>
  <c r="BC203"/>
  <c r="BC202"/>
  <c r="BC214"/>
  <c r="BC213"/>
  <c r="AT225"/>
  <c r="AT226"/>
  <c r="AT227"/>
  <c r="AT228"/>
  <c r="AT229"/>
  <c r="AT230"/>
  <c r="AT231"/>
  <c r="AT219"/>
  <c r="AT220"/>
  <c r="AT216"/>
  <c r="BC217"/>
  <c r="AT234"/>
  <c r="AT235"/>
  <c r="AT236"/>
  <c r="AT237"/>
  <c r="AT238"/>
  <c r="AT239"/>
  <c r="AT240"/>
  <c r="AT241"/>
  <c r="AT242"/>
  <c r="AT243"/>
  <c r="W248"/>
  <c r="W247"/>
  <c r="W246"/>
  <c r="AT245"/>
  <c r="AT244"/>
  <c r="BC249"/>
  <c r="BC268"/>
  <c r="BC262"/>
  <c r="BC256"/>
  <c r="AT258"/>
  <c r="AT259"/>
  <c r="BC253"/>
  <c r="BC252"/>
  <c r="BC251"/>
  <c r="BC276"/>
  <c r="AT279"/>
  <c r="BC279"/>
  <c r="BD278"/>
  <c r="BC278"/>
  <c r="BD277"/>
  <c r="BC277"/>
  <c r="H34" i="7"/>
  <c r="H16"/>
  <c r="H17"/>
  <c r="H18"/>
  <c r="H15"/>
  <c r="H9"/>
  <c r="H10"/>
  <c r="H11"/>
  <c r="H12"/>
  <c r="H13"/>
  <c r="H14"/>
  <c r="H8"/>
  <c r="Q8" s="1"/>
  <c r="T41"/>
  <c r="BC280" i="4"/>
  <c r="G53" i="9"/>
  <c r="F53"/>
  <c r="G67"/>
  <c r="F67"/>
  <c r="F58"/>
  <c r="G58"/>
  <c r="H60"/>
  <c r="G7" i="10"/>
  <c r="F7"/>
  <c r="E7"/>
  <c r="H23"/>
  <c r="Q23" s="1"/>
  <c r="H8"/>
  <c r="Q8" s="1"/>
  <c r="AT302" i="4"/>
  <c r="BC317"/>
  <c r="BC316"/>
  <c r="BD305"/>
  <c r="BC322"/>
  <c r="AT312"/>
  <c r="AT313"/>
  <c r="AT318"/>
  <c r="AT319"/>
  <c r="AT320"/>
  <c r="AT321"/>
  <c r="AT324"/>
  <c r="AT325"/>
  <c r="AT326"/>
  <c r="AT327"/>
  <c r="AT328"/>
  <c r="AT329"/>
  <c r="AT330"/>
  <c r="BC337"/>
  <c r="BC334"/>
  <c r="BC336"/>
  <c r="BC335"/>
  <c r="BC332"/>
  <c r="AT334"/>
  <c r="AT335"/>
  <c r="AT336"/>
  <c r="AT337"/>
  <c r="AT338"/>
  <c r="BC338"/>
  <c r="H11" i="12"/>
  <c r="H7"/>
  <c r="BC331" i="4"/>
  <c r="BC371"/>
  <c r="BD371" s="1"/>
  <c r="BC367"/>
  <c r="BD367" s="1"/>
  <c r="BC366"/>
  <c r="BC373"/>
  <c r="BC372"/>
  <c r="AT367"/>
  <c r="AT368"/>
  <c r="AT370"/>
  <c r="AT371"/>
  <c r="AT373"/>
  <c r="AT366"/>
  <c r="BC370"/>
  <c r="BC369"/>
  <c r="BC368"/>
  <c r="BC365"/>
  <c r="BC362"/>
  <c r="BC361"/>
  <c r="AT360"/>
  <c r="AT359"/>
  <c r="BC358"/>
  <c r="BC360"/>
  <c r="BC359"/>
  <c r="AT356"/>
  <c r="BC355"/>
  <c r="AT352"/>
  <c r="AT353"/>
  <c r="AT351"/>
  <c r="AT348"/>
  <c r="BC352"/>
  <c r="AC246" l="1"/>
  <c r="AC42"/>
  <c r="AC41"/>
  <c r="AC247"/>
  <c r="AC39"/>
  <c r="AC248"/>
  <c r="AC40"/>
  <c r="AC26"/>
  <c r="Z159" i="37"/>
  <c r="G8" i="16"/>
  <c r="I8" s="1"/>
  <c r="AD155" i="37"/>
  <c r="AD39" i="4"/>
  <c r="AE39"/>
  <c r="AD248"/>
  <c r="AE248"/>
  <c r="AD40"/>
  <c r="AE40"/>
  <c r="AD41"/>
  <c r="AE41"/>
  <c r="AD247"/>
  <c r="AE247"/>
  <c r="AD246"/>
  <c r="AE246"/>
  <c r="AD42"/>
  <c r="AE42"/>
  <c r="AE26"/>
  <c r="X26"/>
  <c r="AD26"/>
  <c r="AA155" i="37"/>
  <c r="X247" i="4"/>
  <c r="AJ247"/>
  <c r="AJ39"/>
  <c r="X39"/>
  <c r="AJ40"/>
  <c r="X40"/>
  <c r="AJ41"/>
  <c r="X41"/>
  <c r="AJ248"/>
  <c r="X248"/>
  <c r="AI246"/>
  <c r="AJ246"/>
  <c r="X246"/>
  <c r="X42"/>
  <c r="AJ42"/>
  <c r="T8"/>
  <c r="AH19"/>
  <c r="AJ26"/>
  <c r="AI42"/>
  <c r="AI247"/>
  <c r="AI39"/>
  <c r="AI248"/>
  <c r="AI40"/>
  <c r="AI26"/>
  <c r="AI41"/>
  <c r="R7" i="12"/>
  <c r="Q7"/>
  <c r="R11"/>
  <c r="Q11"/>
  <c r="Q60" i="9"/>
  <c r="S9" i="7"/>
  <c r="Q9"/>
  <c r="S12"/>
  <c r="Q12"/>
  <c r="S15"/>
  <c r="Q15"/>
  <c r="S34"/>
  <c r="Q34"/>
  <c r="S13"/>
  <c r="Q13"/>
  <c r="S16"/>
  <c r="Q16"/>
  <c r="W210" i="4"/>
  <c r="S11" i="7"/>
  <c r="Q11"/>
  <c r="S18"/>
  <c r="Q18"/>
  <c r="S14"/>
  <c r="Q14"/>
  <c r="S10"/>
  <c r="Q10"/>
  <c r="S17"/>
  <c r="Q17"/>
  <c r="V8" i="4"/>
  <c r="V6" s="1"/>
  <c r="V530" s="1"/>
  <c r="V543" s="1"/>
  <c r="AT369"/>
  <c r="AR372"/>
  <c r="AT246"/>
  <c r="AR246"/>
  <c r="AT247"/>
  <c r="AR247"/>
  <c r="AT39"/>
  <c r="AR39"/>
  <c r="AR26"/>
  <c r="AT248"/>
  <c r="AR248"/>
  <c r="U8"/>
  <c r="AT40"/>
  <c r="AR40"/>
  <c r="AT41"/>
  <c r="AR41"/>
  <c r="AT42"/>
  <c r="AR42"/>
  <c r="AT268"/>
  <c r="AT317"/>
  <c r="AT257"/>
  <c r="AS256"/>
  <c r="AT233"/>
  <c r="AS232"/>
  <c r="AS120"/>
  <c r="AT121"/>
  <c r="AT86"/>
  <c r="AS85"/>
  <c r="AT57"/>
  <c r="AT14"/>
  <c r="AS13"/>
  <c r="AS19"/>
  <c r="AT20"/>
  <c r="AT332"/>
  <c r="AS331"/>
  <c r="AT315"/>
  <c r="AS314"/>
  <c r="AT311"/>
  <c r="AS310"/>
  <c r="AT215"/>
  <c r="AS214"/>
  <c r="AT116"/>
  <c r="AT114"/>
  <c r="AS113"/>
  <c r="AT107"/>
  <c r="AS106"/>
  <c r="AT48"/>
  <c r="AS47"/>
  <c r="AT61"/>
  <c r="AS60"/>
  <c r="AT323"/>
  <c r="AS322"/>
  <c r="AU262"/>
  <c r="AS262"/>
  <c r="AS221"/>
  <c r="AT222"/>
  <c r="AT171"/>
  <c r="AT203"/>
  <c r="AS202"/>
  <c r="AT154"/>
  <c r="AS153"/>
  <c r="AT144"/>
  <c r="AS141"/>
  <c r="AT142"/>
  <c r="AT110"/>
  <c r="AS109"/>
  <c r="AT51"/>
  <c r="AS50"/>
  <c r="AT73"/>
  <c r="AS72"/>
  <c r="AT11"/>
  <c r="AS10"/>
  <c r="AT26"/>
  <c r="AT301"/>
  <c r="AS300"/>
  <c r="S8" i="7"/>
  <c r="AT224" i="4"/>
  <c r="AT218"/>
  <c r="AS217"/>
  <c r="AT186"/>
  <c r="AS185"/>
  <c r="AT163"/>
  <c r="AS162"/>
  <c r="AT136"/>
  <c r="AS135"/>
  <c r="AT133"/>
  <c r="AS132"/>
  <c r="AT97"/>
  <c r="AS96"/>
  <c r="AT92"/>
  <c r="AT90"/>
  <c r="AS89"/>
  <c r="AT83"/>
  <c r="AS82"/>
  <c r="AT55"/>
  <c r="AS54"/>
  <c r="AT18"/>
  <c r="AS17"/>
  <c r="J47" i="3"/>
  <c r="J870" s="1"/>
  <c r="AV284" i="4"/>
  <c r="AW284" s="1"/>
  <c r="AV285"/>
  <c r="AU314"/>
  <c r="AU221"/>
  <c r="AU113"/>
  <c r="AU106"/>
  <c r="AU47"/>
  <c r="AV368"/>
  <c r="AU141"/>
  <c r="AU10"/>
  <c r="AU37"/>
  <c r="AV367"/>
  <c r="AW279"/>
  <c r="AU89"/>
  <c r="AU54"/>
  <c r="AU17"/>
  <c r="AV366"/>
  <c r="AU120"/>
  <c r="AU85"/>
  <c r="AG156" i="37"/>
  <c r="AU214" i="4"/>
  <c r="AU13"/>
  <c r="AU19"/>
  <c r="AU217"/>
  <c r="AU202"/>
  <c r="AU153"/>
  <c r="AU109"/>
  <c r="AU50"/>
  <c r="AU72"/>
  <c r="AU60"/>
  <c r="AU232"/>
  <c r="AU185"/>
  <c r="AU162"/>
  <c r="AU135"/>
  <c r="AU132"/>
  <c r="AU96"/>
  <c r="AU82"/>
  <c r="AU331"/>
  <c r="AU322"/>
  <c r="AU256"/>
  <c r="AU300"/>
  <c r="AU310"/>
  <c r="AV240"/>
  <c r="AW240" s="1"/>
  <c r="AV215"/>
  <c r="AW215" s="1"/>
  <c r="AV229"/>
  <c r="AW229" s="1"/>
  <c r="AV179"/>
  <c r="AW179" s="1"/>
  <c r="AV175"/>
  <c r="AW175" s="1"/>
  <c r="AV199"/>
  <c r="AW199" s="1"/>
  <c r="AV191"/>
  <c r="AW191" s="1"/>
  <c r="AV207"/>
  <c r="AW207" s="1"/>
  <c r="AV160"/>
  <c r="AW160" s="1"/>
  <c r="AV151"/>
  <c r="AW151" s="1"/>
  <c r="AV121"/>
  <c r="AW121" s="1"/>
  <c r="AV122"/>
  <c r="AW122" s="1"/>
  <c r="AV111"/>
  <c r="AW111" s="1"/>
  <c r="AV93"/>
  <c r="AW93" s="1"/>
  <c r="AV57"/>
  <c r="AW57" s="1"/>
  <c r="AV74"/>
  <c r="AW74" s="1"/>
  <c r="AV64"/>
  <c r="AW64" s="1"/>
  <c r="AV58"/>
  <c r="AW58" s="1"/>
  <c r="AV20"/>
  <c r="AW20" s="1"/>
  <c r="AV40"/>
  <c r="AW40" s="1"/>
  <c r="AV373"/>
  <c r="AW373" s="1"/>
  <c r="AV332"/>
  <c r="AW332" s="1"/>
  <c r="AV335"/>
  <c r="AW335" s="1"/>
  <c r="AV329"/>
  <c r="AW329" s="1"/>
  <c r="AV319"/>
  <c r="AW319" s="1"/>
  <c r="AV245"/>
  <c r="AW245" s="1"/>
  <c r="AV239"/>
  <c r="AW239" s="1"/>
  <c r="AV222"/>
  <c r="AW222" s="1"/>
  <c r="AV194"/>
  <c r="AW194" s="1"/>
  <c r="AV190"/>
  <c r="AW190" s="1"/>
  <c r="AV206"/>
  <c r="AW206" s="1"/>
  <c r="AV187"/>
  <c r="AW187" s="1"/>
  <c r="AV167"/>
  <c r="AW167" s="1"/>
  <c r="AV159"/>
  <c r="AW159" s="1"/>
  <c r="AV155"/>
  <c r="AW155" s="1"/>
  <c r="AV146"/>
  <c r="AW146" s="1"/>
  <c r="AV139"/>
  <c r="AW139" s="1"/>
  <c r="AV125"/>
  <c r="AW125" s="1"/>
  <c r="AV114"/>
  <c r="AW114" s="1"/>
  <c r="AV100"/>
  <c r="AW100" s="1"/>
  <c r="AV87"/>
  <c r="AW87" s="1"/>
  <c r="AV61"/>
  <c r="AW61" s="1"/>
  <c r="AV67"/>
  <c r="AW67" s="1"/>
  <c r="AV53"/>
  <c r="AW53" s="1"/>
  <c r="AV15"/>
  <c r="AW15" s="1"/>
  <c r="AV25"/>
  <c r="AW25" s="1"/>
  <c r="AV41"/>
  <c r="AW41" s="1"/>
  <c r="AV531"/>
  <c r="AW531" s="1"/>
  <c r="AV353"/>
  <c r="AW353" s="1"/>
  <c r="AV338"/>
  <c r="AW338" s="1"/>
  <c r="AV334"/>
  <c r="AW334" s="1"/>
  <c r="AV328"/>
  <c r="AW328" s="1"/>
  <c r="AV324"/>
  <c r="AW324" s="1"/>
  <c r="AV318"/>
  <c r="AW318" s="1"/>
  <c r="AV315"/>
  <c r="AW315" s="1"/>
  <c r="AV311"/>
  <c r="AW311" s="1"/>
  <c r="AV268"/>
  <c r="AW268" s="1"/>
  <c r="AV224"/>
  <c r="AW224" s="1"/>
  <c r="AV246"/>
  <c r="AW246" s="1"/>
  <c r="AV242"/>
  <c r="AW242" s="1"/>
  <c r="AV238"/>
  <c r="AW238" s="1"/>
  <c r="AV234"/>
  <c r="AW234" s="1"/>
  <c r="AV218"/>
  <c r="AW218" s="1"/>
  <c r="AV231"/>
  <c r="AW231" s="1"/>
  <c r="AV227"/>
  <c r="AW227" s="1"/>
  <c r="AV184"/>
  <c r="AW184" s="1"/>
  <c r="AV181"/>
  <c r="AW181" s="1"/>
  <c r="AV177"/>
  <c r="AW177" s="1"/>
  <c r="AV173"/>
  <c r="AW173" s="1"/>
  <c r="AV201"/>
  <c r="AW201" s="1"/>
  <c r="AV197"/>
  <c r="AW197" s="1"/>
  <c r="AV193"/>
  <c r="AW193" s="1"/>
  <c r="AV189"/>
  <c r="AW189" s="1"/>
  <c r="AV203"/>
  <c r="AW203" s="1"/>
  <c r="AV205"/>
  <c r="AW205" s="1"/>
  <c r="AV154"/>
  <c r="AW154" s="1"/>
  <c r="AV166"/>
  <c r="AW166" s="1"/>
  <c r="AV158"/>
  <c r="AW158" s="1"/>
  <c r="AV144"/>
  <c r="AW144" s="1"/>
  <c r="AV149"/>
  <c r="AW149" s="1"/>
  <c r="AV145"/>
  <c r="AW145" s="1"/>
  <c r="AV142"/>
  <c r="AW142" s="1"/>
  <c r="AV138"/>
  <c r="AW138" s="1"/>
  <c r="AV124"/>
  <c r="AW124" s="1"/>
  <c r="AV119"/>
  <c r="AW119" s="1"/>
  <c r="AV110"/>
  <c r="AW110" s="1"/>
  <c r="AV108"/>
  <c r="AW108" s="1"/>
  <c r="AV101"/>
  <c r="AW101" s="1"/>
  <c r="AV95"/>
  <c r="AW95" s="1"/>
  <c r="AV88"/>
  <c r="AW88" s="1"/>
  <c r="AV51"/>
  <c r="AW51" s="1"/>
  <c r="AV73"/>
  <c r="AW73" s="1"/>
  <c r="AV70"/>
  <c r="AW70" s="1"/>
  <c r="AV66"/>
  <c r="AW66" s="1"/>
  <c r="AV62"/>
  <c r="AW62" s="1"/>
  <c r="AV52"/>
  <c r="AW52" s="1"/>
  <c r="AV11"/>
  <c r="AW11" s="1"/>
  <c r="AV16"/>
  <c r="AW16" s="1"/>
  <c r="AV22"/>
  <c r="AW22" s="1"/>
  <c r="AV38"/>
  <c r="AW38" s="1"/>
  <c r="AV42"/>
  <c r="AW42" s="1"/>
  <c r="AV26"/>
  <c r="AW26" s="1"/>
  <c r="AV348"/>
  <c r="AW348" s="1"/>
  <c r="AV356"/>
  <c r="AW356" s="1"/>
  <c r="AV360"/>
  <c r="AW360" s="1"/>
  <c r="AV370"/>
  <c r="AW370" s="1"/>
  <c r="AV336"/>
  <c r="AW336" s="1"/>
  <c r="AV330"/>
  <c r="AW330" s="1"/>
  <c r="AV326"/>
  <c r="AW326" s="1"/>
  <c r="AV320"/>
  <c r="AW320" s="1"/>
  <c r="AV312"/>
  <c r="AW312" s="1"/>
  <c r="AV259"/>
  <c r="AW259" s="1"/>
  <c r="AV244"/>
  <c r="AW244" s="1"/>
  <c r="AV248"/>
  <c r="AW248" s="1"/>
  <c r="AV236"/>
  <c r="AW236" s="1"/>
  <c r="AV219"/>
  <c r="AW219" s="1"/>
  <c r="AV225"/>
  <c r="AW225" s="1"/>
  <c r="AV195"/>
  <c r="AW195" s="1"/>
  <c r="AV188"/>
  <c r="AW188" s="1"/>
  <c r="AV168"/>
  <c r="AW168" s="1"/>
  <c r="AV156"/>
  <c r="AW156" s="1"/>
  <c r="AV147"/>
  <c r="AW147" s="1"/>
  <c r="AV140"/>
  <c r="AW140" s="1"/>
  <c r="AV117"/>
  <c r="AW117" s="1"/>
  <c r="AV98"/>
  <c r="AW98" s="1"/>
  <c r="AV86"/>
  <c r="AW86" s="1"/>
  <c r="AV84"/>
  <c r="AW84" s="1"/>
  <c r="AV68"/>
  <c r="AW68" s="1"/>
  <c r="AV14"/>
  <c r="AW14" s="1"/>
  <c r="AV24"/>
  <c r="AW24" s="1"/>
  <c r="AV351"/>
  <c r="AW351" s="1"/>
  <c r="AV369"/>
  <c r="AW369" s="1"/>
  <c r="AV325"/>
  <c r="AW325" s="1"/>
  <c r="AV317"/>
  <c r="AW317" s="1"/>
  <c r="AV258"/>
  <c r="AW258" s="1"/>
  <c r="AV243"/>
  <c r="AW243" s="1"/>
  <c r="AV235"/>
  <c r="AW235" s="1"/>
  <c r="AV216"/>
  <c r="AW216" s="1"/>
  <c r="AV228"/>
  <c r="AW228" s="1"/>
  <c r="AV171"/>
  <c r="AW171" s="1"/>
  <c r="AV182"/>
  <c r="AW182" s="1"/>
  <c r="AV178"/>
  <c r="AW178" s="1"/>
  <c r="AV174"/>
  <c r="AW174" s="1"/>
  <c r="AV198"/>
  <c r="AW198" s="1"/>
  <c r="AV150"/>
  <c r="AW150" s="1"/>
  <c r="AV134"/>
  <c r="AW134" s="1"/>
  <c r="AV116"/>
  <c r="AW116" s="1"/>
  <c r="AV107"/>
  <c r="AW107" s="1"/>
  <c r="AV94"/>
  <c r="AW94" s="1"/>
  <c r="AV48"/>
  <c r="AW48" s="1"/>
  <c r="AV71"/>
  <c r="AW71" s="1"/>
  <c r="AV63"/>
  <c r="AW63" s="1"/>
  <c r="AV21"/>
  <c r="AW21" s="1"/>
  <c r="AV352"/>
  <c r="AW352" s="1"/>
  <c r="AV359"/>
  <c r="AW359" s="1"/>
  <c r="AV371"/>
  <c r="AW371" s="1"/>
  <c r="AV337"/>
  <c r="AW337" s="1"/>
  <c r="AV323"/>
  <c r="AW323" s="1"/>
  <c r="AV327"/>
  <c r="AW327" s="1"/>
  <c r="AV321"/>
  <c r="AW321" s="1"/>
  <c r="AV313"/>
  <c r="AW313" s="1"/>
  <c r="AV257"/>
  <c r="AW257" s="1"/>
  <c r="AV233"/>
  <c r="AW233" s="1"/>
  <c r="AV247"/>
  <c r="AW247" s="1"/>
  <c r="AV241"/>
  <c r="AW241" s="1"/>
  <c r="AV237"/>
  <c r="AW237" s="1"/>
  <c r="AV220"/>
  <c r="AW220" s="1"/>
  <c r="AV230"/>
  <c r="AW230" s="1"/>
  <c r="AV226"/>
  <c r="AW226" s="1"/>
  <c r="AV183"/>
  <c r="AW183" s="1"/>
  <c r="AV180"/>
  <c r="AW180" s="1"/>
  <c r="AV176"/>
  <c r="AW176" s="1"/>
  <c r="AV172"/>
  <c r="AW172" s="1"/>
  <c r="AV200"/>
  <c r="AW200" s="1"/>
  <c r="AV196"/>
  <c r="AW196" s="1"/>
  <c r="AV192"/>
  <c r="AW192" s="1"/>
  <c r="AV208"/>
  <c r="AW208" s="1"/>
  <c r="AV204"/>
  <c r="AW204" s="1"/>
  <c r="AV186"/>
  <c r="AW186" s="1"/>
  <c r="AV163"/>
  <c r="AW163" s="1"/>
  <c r="AV165"/>
  <c r="AW165" s="1"/>
  <c r="AV157"/>
  <c r="AW157" s="1"/>
  <c r="AV152"/>
  <c r="AW152" s="1"/>
  <c r="AV148"/>
  <c r="AW148" s="1"/>
  <c r="AV136"/>
  <c r="AW136" s="1"/>
  <c r="AV137"/>
  <c r="AW137" s="1"/>
  <c r="AV133"/>
  <c r="AW133" s="1"/>
  <c r="AV123"/>
  <c r="AW123" s="1"/>
  <c r="AV118"/>
  <c r="AW118" s="1"/>
  <c r="AV112"/>
  <c r="AW112" s="1"/>
  <c r="AV97"/>
  <c r="AW97" s="1"/>
  <c r="AV92"/>
  <c r="AW92" s="1"/>
  <c r="AV90"/>
  <c r="AW90" s="1"/>
  <c r="AV83"/>
  <c r="AW83" s="1"/>
  <c r="AV55"/>
  <c r="AW55" s="1"/>
  <c r="AV75"/>
  <c r="AW75" s="1"/>
  <c r="AV69"/>
  <c r="AW69" s="1"/>
  <c r="AV65"/>
  <c r="AW65" s="1"/>
  <c r="AV59"/>
  <c r="AW59" s="1"/>
  <c r="AV49"/>
  <c r="AW49" s="1"/>
  <c r="AV12"/>
  <c r="AW12" s="1"/>
  <c r="AV18"/>
  <c r="AW18" s="1"/>
  <c r="AV23"/>
  <c r="AW23" s="1"/>
  <c r="AV39"/>
  <c r="AW39" s="1"/>
  <c r="AV302"/>
  <c r="AW302" s="1"/>
  <c r="AV301"/>
  <c r="AW301" s="1"/>
  <c r="BD60"/>
  <c r="AV54"/>
  <c r="BD351"/>
  <c r="AT262"/>
  <c r="AV141"/>
  <c r="AV132"/>
  <c r="W17"/>
  <c r="AE17" s="1"/>
  <c r="BD348"/>
  <c r="BD356"/>
  <c r="BD360"/>
  <c r="BD353"/>
  <c r="BD352"/>
  <c r="BD359"/>
  <c r="W37"/>
  <c r="AT162"/>
  <c r="AV50"/>
  <c r="AT221"/>
  <c r="AT217"/>
  <c r="BD72"/>
  <c r="AV214"/>
  <c r="AT82"/>
  <c r="AV47"/>
  <c r="BD56"/>
  <c r="AU143"/>
  <c r="AV120"/>
  <c r="AV96"/>
  <c r="AV60"/>
  <c r="AV85"/>
  <c r="AV72"/>
  <c r="AT109"/>
  <c r="AT113"/>
  <c r="AV106"/>
  <c r="AU170"/>
  <c r="AV202"/>
  <c r="L79" i="21"/>
  <c r="AV314" i="4"/>
  <c r="AV310"/>
  <c r="AV260"/>
  <c r="AT253"/>
  <c r="L120" i="21"/>
  <c r="AV256" i="4"/>
  <c r="AU316"/>
  <c r="AC37" l="1"/>
  <c r="AC210"/>
  <c r="AC17"/>
  <c r="AD157" i="37"/>
  <c r="AD37" i="4"/>
  <c r="AE37"/>
  <c r="AD210"/>
  <c r="AE210"/>
  <c r="X17"/>
  <c r="AD17"/>
  <c r="AI210"/>
  <c r="X210"/>
  <c r="AJ210"/>
  <c r="AJ17"/>
  <c r="X37"/>
  <c r="AJ37"/>
  <c r="T6"/>
  <c r="AH8"/>
  <c r="AI37"/>
  <c r="U6"/>
  <c r="U530" s="1"/>
  <c r="AI17"/>
  <c r="AR210"/>
  <c r="AT37"/>
  <c r="AR37"/>
  <c r="AV17"/>
  <c r="AW17" s="1"/>
  <c r="AR17"/>
  <c r="AV10"/>
  <c r="AW10" s="1"/>
  <c r="AR10"/>
  <c r="AT300"/>
  <c r="AS91"/>
  <c r="AS78" s="1"/>
  <c r="AT96"/>
  <c r="AS170"/>
  <c r="AS169" s="1"/>
  <c r="AS115"/>
  <c r="AS102" s="1"/>
  <c r="AT106"/>
  <c r="AT256"/>
  <c r="AT17"/>
  <c r="AT85"/>
  <c r="AS143"/>
  <c r="AT153"/>
  <c r="AT310"/>
  <c r="AT10"/>
  <c r="AT60"/>
  <c r="AT322"/>
  <c r="AT141"/>
  <c r="AT260"/>
  <c r="AT50"/>
  <c r="AT120"/>
  <c r="AT314"/>
  <c r="AT47"/>
  <c r="AS56"/>
  <c r="AT132"/>
  <c r="AT214"/>
  <c r="AT358"/>
  <c r="AT54"/>
  <c r="AT202"/>
  <c r="AS6"/>
  <c r="AT72"/>
  <c r="AT185"/>
  <c r="AS316"/>
  <c r="AT350"/>
  <c r="AU6"/>
  <c r="AU169"/>
  <c r="AU128" s="1"/>
  <c r="AV262"/>
  <c r="AW262" s="1"/>
  <c r="AU115"/>
  <c r="AU102" s="1"/>
  <c r="AU91"/>
  <c r="AU78" s="1"/>
  <c r="AU56"/>
  <c r="BD132"/>
  <c r="AV37"/>
  <c r="AW37" s="1"/>
  <c r="AW260"/>
  <c r="AW141"/>
  <c r="AW314"/>
  <c r="AW106"/>
  <c r="AW120"/>
  <c r="AW214"/>
  <c r="AW132"/>
  <c r="AV162"/>
  <c r="AW162" s="1"/>
  <c r="AV109"/>
  <c r="AW109" s="1"/>
  <c r="AW72"/>
  <c r="AW47"/>
  <c r="AW54"/>
  <c r="AV253"/>
  <c r="AW253" s="1"/>
  <c r="AW202"/>
  <c r="AW60"/>
  <c r="AV322"/>
  <c r="AW322" s="1"/>
  <c r="AV217"/>
  <c r="AW217" s="1"/>
  <c r="AV350"/>
  <c r="AW350" s="1"/>
  <c r="AV153"/>
  <c r="AW153" s="1"/>
  <c r="AV113"/>
  <c r="AW113" s="1"/>
  <c r="AW256"/>
  <c r="AW310"/>
  <c r="AW85"/>
  <c r="AW96"/>
  <c r="AW50"/>
  <c r="AV82"/>
  <c r="AW82" s="1"/>
  <c r="AV185"/>
  <c r="AW185" s="1"/>
  <c r="AV358"/>
  <c r="AW358" s="1"/>
  <c r="AV221"/>
  <c r="AW221" s="1"/>
  <c r="AV300"/>
  <c r="AW300" s="1"/>
  <c r="AV170"/>
  <c r="AV91"/>
  <c r="AT46"/>
  <c r="AT213"/>
  <c r="BD350"/>
  <c r="BD322"/>
  <c r="BD358"/>
  <c r="AT56"/>
  <c r="AV143"/>
  <c r="BD256"/>
  <c r="AT115"/>
  <c r="AV81"/>
  <c r="AT105"/>
  <c r="AT252"/>
  <c r="AT316"/>
  <c r="T530" l="1"/>
  <c r="AH6"/>
  <c r="AT91"/>
  <c r="AT81"/>
  <c r="AT143"/>
  <c r="AT170"/>
  <c r="AV252"/>
  <c r="AW252" s="1"/>
  <c r="AT251"/>
  <c r="AW143"/>
  <c r="AW81"/>
  <c r="AV56"/>
  <c r="AW56" s="1"/>
  <c r="AW91"/>
  <c r="AW170"/>
  <c r="AV213"/>
  <c r="AW213" s="1"/>
  <c r="AV46"/>
  <c r="AW46" s="1"/>
  <c r="AV115"/>
  <c r="AW115" s="1"/>
  <c r="AV105"/>
  <c r="AW105" s="1"/>
  <c r="AV316"/>
  <c r="AW316" s="1"/>
  <c r="BD316"/>
  <c r="AT80"/>
  <c r="AT45"/>
  <c r="AV251"/>
  <c r="BC351"/>
  <c r="BC350"/>
  <c r="BC347"/>
  <c r="AT343"/>
  <c r="AT346"/>
  <c r="AT349"/>
  <c r="AT357"/>
  <c r="AT363"/>
  <c r="AT365"/>
  <c r="AT362"/>
  <c r="AT355"/>
  <c r="AT345"/>
  <c r="AT342"/>
  <c r="BC345"/>
  <c r="BC344"/>
  <c r="BC343"/>
  <c r="BC342"/>
  <c r="AT364"/>
  <c r="L52" i="21"/>
  <c r="V377" i="4"/>
  <c r="U377"/>
  <c r="BC395"/>
  <c r="AT385"/>
  <c r="AT386"/>
  <c r="BC389"/>
  <c r="AT382"/>
  <c r="AT391"/>
  <c r="AT392"/>
  <c r="AT393"/>
  <c r="AT394"/>
  <c r="AT397"/>
  <c r="AT398"/>
  <c r="AT399"/>
  <c r="BC383"/>
  <c r="BC380"/>
  <c r="BC378"/>
  <c r="BC407"/>
  <c r="BC404"/>
  <c r="BC408"/>
  <c r="AT404"/>
  <c r="AT405"/>
  <c r="AT406"/>
  <c r="AT407"/>
  <c r="AT408"/>
  <c r="BD401"/>
  <c r="BC400"/>
  <c r="G15" i="13"/>
  <c r="G7"/>
  <c r="H10"/>
  <c r="H11"/>
  <c r="H12"/>
  <c r="H13"/>
  <c r="H14"/>
  <c r="H9"/>
  <c r="H17"/>
  <c r="Q17" s="1"/>
  <c r="H18"/>
  <c r="Q18" s="1"/>
  <c r="H19"/>
  <c r="Q19" s="1"/>
  <c r="H20"/>
  <c r="Q20" s="1"/>
  <c r="H21"/>
  <c r="H22"/>
  <c r="H23"/>
  <c r="H24"/>
  <c r="H25"/>
  <c r="H16"/>
  <c r="Q16" s="1"/>
  <c r="H34"/>
  <c r="Q34" s="1"/>
  <c r="H35"/>
  <c r="Q35" s="1"/>
  <c r="H33"/>
  <c r="Q33" s="1"/>
  <c r="AT432" i="4"/>
  <c r="AT433"/>
  <c r="F15" i="13"/>
  <c r="E15"/>
  <c r="BC425" i="4"/>
  <c r="BD412"/>
  <c r="BC412"/>
  <c r="BC411"/>
  <c r="AT411"/>
  <c r="AT412"/>
  <c r="AT413"/>
  <c r="AT414"/>
  <c r="AT415"/>
  <c r="AT416"/>
  <c r="AT417"/>
  <c r="AT418"/>
  <c r="AT419"/>
  <c r="AT420"/>
  <c r="AT421"/>
  <c r="AT423"/>
  <c r="AT425"/>
  <c r="BC414"/>
  <c r="BC413"/>
  <c r="BC419"/>
  <c r="BD420"/>
  <c r="BC421"/>
  <c r="BC420"/>
  <c r="BC422"/>
  <c r="BD423"/>
  <c r="BC423"/>
  <c r="AA28" i="14"/>
  <c r="H46"/>
  <c r="Q46" s="1"/>
  <c r="H47"/>
  <c r="Q47" s="1"/>
  <c r="H28"/>
  <c r="Q28" s="1"/>
  <c r="H21"/>
  <c r="Q21" s="1"/>
  <c r="H22"/>
  <c r="Q22" s="1"/>
  <c r="H24"/>
  <c r="Q24" s="1"/>
  <c r="H25"/>
  <c r="Q25" s="1"/>
  <c r="H26"/>
  <c r="Q26" s="1"/>
  <c r="H27"/>
  <c r="Q27" s="1"/>
  <c r="H20"/>
  <c r="Q20" s="1"/>
  <c r="H9"/>
  <c r="Q9" s="1"/>
  <c r="H10"/>
  <c r="Q10" s="1"/>
  <c r="H11"/>
  <c r="Q11" s="1"/>
  <c r="H12"/>
  <c r="Q12" s="1"/>
  <c r="H13"/>
  <c r="Q13" s="1"/>
  <c r="H14"/>
  <c r="Q14" s="1"/>
  <c r="H15"/>
  <c r="Q15" s="1"/>
  <c r="H16"/>
  <c r="Q16" s="1"/>
  <c r="H17"/>
  <c r="Q17" s="1"/>
  <c r="H18"/>
  <c r="Q18" s="1"/>
  <c r="H8"/>
  <c r="Q8" s="1"/>
  <c r="G7"/>
  <c r="F7"/>
  <c r="E7"/>
  <c r="G19"/>
  <c r="F19"/>
  <c r="E19"/>
  <c r="H30"/>
  <c r="Q30" s="1"/>
  <c r="H45"/>
  <c r="Q45" s="1"/>
  <c r="H48"/>
  <c r="Q48" s="1"/>
  <c r="F27" i="15"/>
  <c r="F26"/>
  <c r="AC377" i="4" l="1"/>
  <c r="AE377"/>
  <c r="AF534"/>
  <c r="AH530"/>
  <c r="AJ377"/>
  <c r="AI377"/>
  <c r="H32" i="13"/>
  <c r="Q32" s="1"/>
  <c r="U25"/>
  <c r="Q25"/>
  <c r="U35"/>
  <c r="U24"/>
  <c r="Q24"/>
  <c r="U20"/>
  <c r="U9"/>
  <c r="Q9"/>
  <c r="U11"/>
  <c r="Q11"/>
  <c r="U22"/>
  <c r="Q22"/>
  <c r="U18"/>
  <c r="U13"/>
  <c r="Q13"/>
  <c r="U21"/>
  <c r="Q21"/>
  <c r="U17"/>
  <c r="U12"/>
  <c r="Q12"/>
  <c r="U34"/>
  <c r="U23"/>
  <c r="Q23"/>
  <c r="U19"/>
  <c r="U14"/>
  <c r="Q14"/>
  <c r="U10"/>
  <c r="Q10"/>
  <c r="AL377" i="4"/>
  <c r="E55" i="14"/>
  <c r="E57" s="1"/>
  <c r="AR377" i="4"/>
  <c r="AT422"/>
  <c r="W376"/>
  <c r="X19" i="14"/>
  <c r="AT381" i="4"/>
  <c r="AS380"/>
  <c r="X7" i="14"/>
  <c r="AT410" i="4"/>
  <c r="AS409"/>
  <c r="AT396"/>
  <c r="AS395"/>
  <c r="AT390"/>
  <c r="AT384"/>
  <c r="AS383"/>
  <c r="AV169"/>
  <c r="AW169" s="1"/>
  <c r="AS128"/>
  <c r="AT169"/>
  <c r="AT401"/>
  <c r="AT388"/>
  <c r="AS387"/>
  <c r="AT347"/>
  <c r="F6" i="14"/>
  <c r="G6"/>
  <c r="AU387" i="4"/>
  <c r="AU395"/>
  <c r="AU383"/>
  <c r="AU380"/>
  <c r="AV347"/>
  <c r="AW347" s="1"/>
  <c r="H55" i="14"/>
  <c r="H57" s="1"/>
  <c r="AV422" i="4"/>
  <c r="AW422" s="1"/>
  <c r="AV418"/>
  <c r="AW418" s="1"/>
  <c r="AV414"/>
  <c r="AW414" s="1"/>
  <c r="AV410"/>
  <c r="AW410" s="1"/>
  <c r="AV433"/>
  <c r="AW433" s="1"/>
  <c r="AV406"/>
  <c r="AW406" s="1"/>
  <c r="AV396"/>
  <c r="AW396" s="1"/>
  <c r="AV390"/>
  <c r="AW390" s="1"/>
  <c r="AV391"/>
  <c r="AW391" s="1"/>
  <c r="AV384"/>
  <c r="AW384" s="1"/>
  <c r="AV364"/>
  <c r="AW364" s="1"/>
  <c r="AV355"/>
  <c r="AW355" s="1"/>
  <c r="AV357"/>
  <c r="AW357" s="1"/>
  <c r="AV45"/>
  <c r="AW45" s="1"/>
  <c r="AV421"/>
  <c r="AW421" s="1"/>
  <c r="AV417"/>
  <c r="AW417" s="1"/>
  <c r="AV413"/>
  <c r="AW413" s="1"/>
  <c r="AV432"/>
  <c r="AW432" s="1"/>
  <c r="AV401"/>
  <c r="AW401" s="1"/>
  <c r="AV405"/>
  <c r="AW405" s="1"/>
  <c r="AV399"/>
  <c r="AW399" s="1"/>
  <c r="AV394"/>
  <c r="AW394" s="1"/>
  <c r="AV388"/>
  <c r="AW388" s="1"/>
  <c r="AV386"/>
  <c r="AW386" s="1"/>
  <c r="AV362"/>
  <c r="AW362" s="1"/>
  <c r="AV349"/>
  <c r="AW349" s="1"/>
  <c r="H19" i="14"/>
  <c r="Q19" s="1"/>
  <c r="AV425" i="4"/>
  <c r="AW425" s="1"/>
  <c r="AV420"/>
  <c r="AW420" s="1"/>
  <c r="AV416"/>
  <c r="AW416" s="1"/>
  <c r="AV412"/>
  <c r="AW412" s="1"/>
  <c r="AV408"/>
  <c r="AW408" s="1"/>
  <c r="AV404"/>
  <c r="AW404" s="1"/>
  <c r="AV398"/>
  <c r="AW398" s="1"/>
  <c r="AV393"/>
  <c r="AW393" s="1"/>
  <c r="AV381"/>
  <c r="AW381" s="1"/>
  <c r="AV385"/>
  <c r="AW385" s="1"/>
  <c r="AV342"/>
  <c r="AW342" s="1"/>
  <c r="AV365"/>
  <c r="AW365" s="1"/>
  <c r="AV346"/>
  <c r="AW346" s="1"/>
  <c r="H7" i="14"/>
  <c r="Q7" s="1"/>
  <c r="AV423" i="4"/>
  <c r="AW423" s="1"/>
  <c r="AV419"/>
  <c r="AW419" s="1"/>
  <c r="AV415"/>
  <c r="AW415" s="1"/>
  <c r="AV411"/>
  <c r="AW411" s="1"/>
  <c r="AV407"/>
  <c r="AW407" s="1"/>
  <c r="AV397"/>
  <c r="AW397" s="1"/>
  <c r="AV392"/>
  <c r="AW392" s="1"/>
  <c r="AV382"/>
  <c r="AW382" s="1"/>
  <c r="AV345"/>
  <c r="AW345" s="1"/>
  <c r="AV363"/>
  <c r="AW363" s="1"/>
  <c r="AV343"/>
  <c r="AW343" s="1"/>
  <c r="AW251"/>
  <c r="AV80"/>
  <c r="AW80" s="1"/>
  <c r="E6" i="14"/>
  <c r="U33" i="13"/>
  <c r="H15"/>
  <c r="Q15" s="1"/>
  <c r="U16"/>
  <c r="BD347" i="4"/>
  <c r="BC45"/>
  <c r="BD365"/>
  <c r="BD346"/>
  <c r="AV387"/>
  <c r="BD363"/>
  <c r="BD343"/>
  <c r="BD349"/>
  <c r="BD357"/>
  <c r="AT409"/>
  <c r="AT380"/>
  <c r="AT383"/>
  <c r="BD364"/>
  <c r="AT354"/>
  <c r="BD355"/>
  <c r="BD362"/>
  <c r="AT361"/>
  <c r="BD342"/>
  <c r="BD345"/>
  <c r="AT344"/>
  <c r="AV403"/>
  <c r="AU389"/>
  <c r="AC376" l="1"/>
  <c r="AD376"/>
  <c r="AE376"/>
  <c r="X376"/>
  <c r="AJ376"/>
  <c r="U15" i="13"/>
  <c r="AL376" i="4"/>
  <c r="AR376"/>
  <c r="AT372"/>
  <c r="AV372"/>
  <c r="AW372" s="1"/>
  <c r="AW78"/>
  <c r="AR43"/>
  <c r="AS389"/>
  <c r="AT387"/>
  <c r="L6" i="21"/>
  <c r="AS340" i="4"/>
  <c r="AS339" s="1"/>
  <c r="AT395"/>
  <c r="AT341"/>
  <c r="AS400"/>
  <c r="AT78"/>
  <c r="AU409"/>
  <c r="AT403"/>
  <c r="L91" i="21"/>
  <c r="L153"/>
  <c r="AV344" i="4"/>
  <c r="AW344" s="1"/>
  <c r="L32" i="21"/>
  <c r="AU339" i="4"/>
  <c r="O3" i="21"/>
  <c r="AV395" i="4"/>
  <c r="AW395" s="1"/>
  <c r="AV409"/>
  <c r="AW409" s="1"/>
  <c r="AX409" s="1"/>
  <c r="BC401"/>
  <c r="AW403"/>
  <c r="AW387"/>
  <c r="AV383"/>
  <c r="AW383" s="1"/>
  <c r="AV361"/>
  <c r="AW361" s="1"/>
  <c r="AV354"/>
  <c r="AW354" s="1"/>
  <c r="AV341"/>
  <c r="AW341" s="1"/>
  <c r="AV380"/>
  <c r="AW380" s="1"/>
  <c r="BD341"/>
  <c r="BD344"/>
  <c r="BD361"/>
  <c r="BD354"/>
  <c r="AT389"/>
  <c r="AT340" l="1"/>
  <c r="AT400"/>
  <c r="AV389"/>
  <c r="AW389" s="1"/>
  <c r="AV340"/>
  <c r="AW340" s="1"/>
  <c r="AV400"/>
  <c r="AW400" s="1"/>
  <c r="BD340"/>
  <c r="AT339"/>
  <c r="AT428"/>
  <c r="AT431"/>
  <c r="AT434"/>
  <c r="AT466"/>
  <c r="AT458"/>
  <c r="AT459"/>
  <c r="AT460"/>
  <c r="AT461"/>
  <c r="AT462"/>
  <c r="AT463"/>
  <c r="AT464"/>
  <c r="AT450"/>
  <c r="AT451"/>
  <c r="AT452"/>
  <c r="AT453"/>
  <c r="AT454"/>
  <c r="AT455"/>
  <c r="AT444"/>
  <c r="AT445"/>
  <c r="AT441"/>
  <c r="BC456"/>
  <c r="BC442"/>
  <c r="BC465"/>
  <c r="AT457" l="1"/>
  <c r="AS456"/>
  <c r="AS439"/>
  <c r="AT440"/>
  <c r="AT427"/>
  <c r="AS426"/>
  <c r="AT449"/>
  <c r="AT447"/>
  <c r="AS446"/>
  <c r="AT430"/>
  <c r="AS429"/>
  <c r="AT443"/>
  <c r="AS442"/>
  <c r="AU446"/>
  <c r="AU465"/>
  <c r="AU442"/>
  <c r="AU456"/>
  <c r="AU439"/>
  <c r="AV464"/>
  <c r="AW464" s="1"/>
  <c r="AV460"/>
  <c r="AW460" s="1"/>
  <c r="AV430"/>
  <c r="AW430" s="1"/>
  <c r="AV457"/>
  <c r="AW457" s="1"/>
  <c r="AV440"/>
  <c r="AW440" s="1"/>
  <c r="AV455"/>
  <c r="AW455" s="1"/>
  <c r="AV451"/>
  <c r="AW451" s="1"/>
  <c r="AV462"/>
  <c r="AW462" s="1"/>
  <c r="AV458"/>
  <c r="AW458" s="1"/>
  <c r="AV431"/>
  <c r="AW431" s="1"/>
  <c r="AV427"/>
  <c r="AW427" s="1"/>
  <c r="AV449"/>
  <c r="AW449" s="1"/>
  <c r="AV441"/>
  <c r="AW441" s="1"/>
  <c r="AV454"/>
  <c r="AW454" s="1"/>
  <c r="AV450"/>
  <c r="AW450" s="1"/>
  <c r="AV461"/>
  <c r="AW461" s="1"/>
  <c r="AS465"/>
  <c r="AV466"/>
  <c r="AW466" s="1"/>
  <c r="AV428"/>
  <c r="AW428" s="1"/>
  <c r="AV447"/>
  <c r="AW447" s="1"/>
  <c r="AV445"/>
  <c r="AW445" s="1"/>
  <c r="AV453"/>
  <c r="AW453" s="1"/>
  <c r="AV443"/>
  <c r="AW443" s="1"/>
  <c r="AV444"/>
  <c r="AW444" s="1"/>
  <c r="AV452"/>
  <c r="AW452" s="1"/>
  <c r="AV463"/>
  <c r="AW463" s="1"/>
  <c r="AV459"/>
  <c r="AW459" s="1"/>
  <c r="AV434"/>
  <c r="AW434" s="1"/>
  <c r="AV339"/>
  <c r="AW339" s="1"/>
  <c r="AT439"/>
  <c r="BD378"/>
  <c r="AU448"/>
  <c r="AT426"/>
  <c r="AT429"/>
  <c r="AT465" l="1"/>
  <c r="AS448"/>
  <c r="AS435" s="1"/>
  <c r="AS376"/>
  <c r="AT456"/>
  <c r="AU435"/>
  <c r="AV429"/>
  <c r="AW429" s="1"/>
  <c r="AV426"/>
  <c r="AW426" s="1"/>
  <c r="AV439"/>
  <c r="AW439" s="1"/>
  <c r="AV465"/>
  <c r="AW465" s="1"/>
  <c r="AV456"/>
  <c r="AW456" s="1"/>
  <c r="AT448"/>
  <c r="BC476"/>
  <c r="BC471"/>
  <c r="BC468"/>
  <c r="AT475"/>
  <c r="AT476"/>
  <c r="AT477"/>
  <c r="AT472"/>
  <c r="BC467"/>
  <c r="AT489"/>
  <c r="AT490"/>
  <c r="AT491"/>
  <c r="AT492"/>
  <c r="AT493"/>
  <c r="AT494"/>
  <c r="AT495"/>
  <c r="AT482"/>
  <c r="AT483"/>
  <c r="AT484"/>
  <c r="AT485"/>
  <c r="AT486"/>
  <c r="AT497"/>
  <c r="AT507"/>
  <c r="AT508"/>
  <c r="AT505"/>
  <c r="AT513"/>
  <c r="AT514"/>
  <c r="AT515"/>
  <c r="AT516"/>
  <c r="AT517"/>
  <c r="BE503"/>
  <c r="BG506"/>
  <c r="BG507"/>
  <c r="BG508"/>
  <c r="BG505"/>
  <c r="BG513"/>
  <c r="BG514"/>
  <c r="BG515"/>
  <c r="BG516"/>
  <c r="BG517"/>
  <c r="BG512"/>
  <c r="BF510"/>
  <c r="BF517"/>
  <c r="BG520"/>
  <c r="BG521"/>
  <c r="BG522"/>
  <c r="BG523"/>
  <c r="BG524"/>
  <c r="BG525"/>
  <c r="BG519"/>
  <c r="AT520"/>
  <c r="AT521"/>
  <c r="AT522"/>
  <c r="AT523"/>
  <c r="AT524"/>
  <c r="AT506" l="1"/>
  <c r="AS504"/>
  <c r="AS487"/>
  <c r="AT488"/>
  <c r="AT471"/>
  <c r="AS470"/>
  <c r="AT512"/>
  <c r="AT519"/>
  <c r="AT481"/>
  <c r="AT510"/>
  <c r="AS509"/>
  <c r="AT474"/>
  <c r="AS473"/>
  <c r="AT479"/>
  <c r="AS478"/>
  <c r="AS496"/>
  <c r="AU496"/>
  <c r="AU509"/>
  <c r="AU478"/>
  <c r="AU473"/>
  <c r="AU504"/>
  <c r="AU487"/>
  <c r="AU470"/>
  <c r="AV521"/>
  <c r="AW521" s="1"/>
  <c r="AV512"/>
  <c r="AW512" s="1"/>
  <c r="AV514"/>
  <c r="AW514" s="1"/>
  <c r="AV507"/>
  <c r="AW507" s="1"/>
  <c r="AV486"/>
  <c r="AW486" s="1"/>
  <c r="AV482"/>
  <c r="AW482" s="1"/>
  <c r="AV492"/>
  <c r="AW492" s="1"/>
  <c r="AV474"/>
  <c r="AW474" s="1"/>
  <c r="AV479"/>
  <c r="AW479" s="1"/>
  <c r="AV524"/>
  <c r="AW524" s="1"/>
  <c r="AV520"/>
  <c r="AW520" s="1"/>
  <c r="AV517"/>
  <c r="AW517" s="1"/>
  <c r="AV513"/>
  <c r="AW513" s="1"/>
  <c r="AV506"/>
  <c r="AW506" s="1"/>
  <c r="AV497"/>
  <c r="AW497" s="1"/>
  <c r="AV485"/>
  <c r="AW485" s="1"/>
  <c r="AV495"/>
  <c r="AW495" s="1"/>
  <c r="AV491"/>
  <c r="AW491" s="1"/>
  <c r="AV477"/>
  <c r="AW477" s="1"/>
  <c r="AV519"/>
  <c r="AW519" s="1"/>
  <c r="AV523"/>
  <c r="AW523" s="1"/>
  <c r="AV516"/>
  <c r="AW516" s="1"/>
  <c r="AV505"/>
  <c r="AW505" s="1"/>
  <c r="AV488"/>
  <c r="AW488" s="1"/>
  <c r="AV484"/>
  <c r="AW484" s="1"/>
  <c r="AV494"/>
  <c r="AW494" s="1"/>
  <c r="AV490"/>
  <c r="AW490" s="1"/>
  <c r="AV471"/>
  <c r="AW471" s="1"/>
  <c r="AV476"/>
  <c r="AW476" s="1"/>
  <c r="AV448"/>
  <c r="AW448" s="1"/>
  <c r="AV522"/>
  <c r="AW522" s="1"/>
  <c r="AV510"/>
  <c r="AW510" s="1"/>
  <c r="AV515"/>
  <c r="AW515" s="1"/>
  <c r="AV508"/>
  <c r="AW508" s="1"/>
  <c r="AV481"/>
  <c r="AW481" s="1"/>
  <c r="AV483"/>
  <c r="AW483" s="1"/>
  <c r="AV493"/>
  <c r="AW493" s="1"/>
  <c r="AV489"/>
  <c r="AW489" s="1"/>
  <c r="AV472"/>
  <c r="AW472" s="1"/>
  <c r="AV475"/>
  <c r="AW475" s="1"/>
  <c r="AT478"/>
  <c r="AT504"/>
  <c r="AV473"/>
  <c r="AV487"/>
  <c r="AT470"/>
  <c r="AU511"/>
  <c r="AT529"/>
  <c r="AV496" l="1"/>
  <c r="AW496" s="1"/>
  <c r="AS527"/>
  <c r="AT528"/>
  <c r="AT496"/>
  <c r="AS511"/>
  <c r="AT518"/>
  <c r="AT473"/>
  <c r="AS480"/>
  <c r="AS467" s="1"/>
  <c r="AT487"/>
  <c r="AU480"/>
  <c r="AU467" s="1"/>
  <c r="AV518"/>
  <c r="AW518" s="1"/>
  <c r="AV470"/>
  <c r="AW470" s="1"/>
  <c r="AV528"/>
  <c r="AW528" s="1"/>
  <c r="AW487"/>
  <c r="AV529"/>
  <c r="AW529" s="1"/>
  <c r="AW473"/>
  <c r="AV478"/>
  <c r="AW478" s="1"/>
  <c r="AV504"/>
  <c r="AW504" s="1"/>
  <c r="AT527"/>
  <c r="AV469"/>
  <c r="AS498" l="1"/>
  <c r="AT469"/>
  <c r="AV527"/>
  <c r="AW527" s="1"/>
  <c r="AW469"/>
  <c r="H9" i="10"/>
  <c r="Q9" s="1"/>
  <c r="H10"/>
  <c r="H11"/>
  <c r="Q11" s="1"/>
  <c r="H12"/>
  <c r="Q12" s="1"/>
  <c r="H13"/>
  <c r="H14"/>
  <c r="H15"/>
  <c r="Q15" s="1"/>
  <c r="H16"/>
  <c r="H17"/>
  <c r="H18"/>
  <c r="H19"/>
  <c r="H20"/>
  <c r="H21"/>
  <c r="H22"/>
  <c r="H10" i="9"/>
  <c r="H11"/>
  <c r="H12"/>
  <c r="H13"/>
  <c r="H9"/>
  <c r="Q9" s="1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4"/>
  <c r="H45"/>
  <c r="H46"/>
  <c r="H47"/>
  <c r="H48"/>
  <c r="H49"/>
  <c r="H50"/>
  <c r="H51"/>
  <c r="H52"/>
  <c r="H19"/>
  <c r="Q19" s="1"/>
  <c r="H55"/>
  <c r="H56"/>
  <c r="H57"/>
  <c r="H54"/>
  <c r="Q54" s="1"/>
  <c r="H59"/>
  <c r="Q59" s="1"/>
  <c r="H69"/>
  <c r="H70"/>
  <c r="H68"/>
  <c r="Q68" s="1"/>
  <c r="G8"/>
  <c r="G7" s="1"/>
  <c r="F8"/>
  <c r="H36" i="7"/>
  <c r="Q36" s="1"/>
  <c r="F7"/>
  <c r="G7"/>
  <c r="E7"/>
  <c r="T37"/>
  <c r="T38"/>
  <c r="T39"/>
  <c r="G36"/>
  <c r="F36"/>
  <c r="E36"/>
  <c r="H33"/>
  <c r="H35"/>
  <c r="H32"/>
  <c r="H21"/>
  <c r="H22"/>
  <c r="H23"/>
  <c r="H24"/>
  <c r="H25"/>
  <c r="H26"/>
  <c r="H27"/>
  <c r="H28"/>
  <c r="H29"/>
  <c r="H30"/>
  <c r="H31"/>
  <c r="H20"/>
  <c r="Q20" s="1"/>
  <c r="T14"/>
  <c r="T15"/>
  <c r="T16"/>
  <c r="T17"/>
  <c r="T18"/>
  <c r="T9"/>
  <c r="T10"/>
  <c r="T11"/>
  <c r="T12"/>
  <c r="T13"/>
  <c r="T8"/>
  <c r="H7" i="11"/>
  <c r="G7"/>
  <c r="G6" s="1"/>
  <c r="F7"/>
  <c r="F6" s="1"/>
  <c r="E7"/>
  <c r="R7" s="1"/>
  <c r="H47" i="10"/>
  <c r="E46"/>
  <c r="H44"/>
  <c r="Q44" s="1"/>
  <c r="H40"/>
  <c r="H41"/>
  <c r="H42"/>
  <c r="H39"/>
  <c r="Q39" s="1"/>
  <c r="H33"/>
  <c r="H34"/>
  <c r="H35"/>
  <c r="H36"/>
  <c r="H37"/>
  <c r="H32"/>
  <c r="Q32" s="1"/>
  <c r="H98" i="21"/>
  <c r="Q47" i="10" l="1"/>
  <c r="H6" i="11"/>
  <c r="Q6" s="1"/>
  <c r="Q7"/>
  <c r="Q41" i="10"/>
  <c r="Q37"/>
  <c r="Q33"/>
  <c r="Q40"/>
  <c r="Q19"/>
  <c r="Q34"/>
  <c r="Q20"/>
  <c r="Q22"/>
  <c r="Q18"/>
  <c r="Q14"/>
  <c r="Q10"/>
  <c r="Q16"/>
  <c r="Q36"/>
  <c r="Q35"/>
  <c r="Q42"/>
  <c r="Q21"/>
  <c r="Q17"/>
  <c r="Q13"/>
  <c r="Q52" i="9"/>
  <c r="Q44"/>
  <c r="Q31"/>
  <c r="Q23"/>
  <c r="Q10"/>
  <c r="Q69"/>
  <c r="Q56"/>
  <c r="Q47"/>
  <c r="Q42"/>
  <c r="Q38"/>
  <c r="Q34"/>
  <c r="Q30"/>
  <c r="Q26"/>
  <c r="Q22"/>
  <c r="Q13"/>
  <c r="Q57"/>
  <c r="Q35"/>
  <c r="Q55"/>
  <c r="Q50"/>
  <c r="Q46"/>
  <c r="Q41"/>
  <c r="Q37"/>
  <c r="Q33"/>
  <c r="Q29"/>
  <c r="Q25"/>
  <c r="Q21"/>
  <c r="Q12"/>
  <c r="Q48"/>
  <c r="Q39"/>
  <c r="Q27"/>
  <c r="Q49"/>
  <c r="Q45"/>
  <c r="Q40"/>
  <c r="Q36"/>
  <c r="Q32"/>
  <c r="Q28"/>
  <c r="Q24"/>
  <c r="Q20"/>
  <c r="Q11"/>
  <c r="S30" i="7"/>
  <c r="T30" s="1"/>
  <c r="Q30"/>
  <c r="S26"/>
  <c r="T26" s="1"/>
  <c r="Q26"/>
  <c r="S22"/>
  <c r="T22" s="1"/>
  <c r="Q22"/>
  <c r="S33"/>
  <c r="T33" s="1"/>
  <c r="Q33"/>
  <c r="S29"/>
  <c r="T29" s="1"/>
  <c r="Q29"/>
  <c r="S25"/>
  <c r="T25" s="1"/>
  <c r="Q25"/>
  <c r="S21"/>
  <c r="T21" s="1"/>
  <c r="Q21"/>
  <c r="S28"/>
  <c r="T28" s="1"/>
  <c r="Q28"/>
  <c r="S24"/>
  <c r="T24" s="1"/>
  <c r="Q24"/>
  <c r="S32"/>
  <c r="T32" s="1"/>
  <c r="Q32"/>
  <c r="S31"/>
  <c r="T31" s="1"/>
  <c r="Q31"/>
  <c r="S27"/>
  <c r="T27" s="1"/>
  <c r="Q27"/>
  <c r="S23"/>
  <c r="T23" s="1"/>
  <c r="Q23"/>
  <c r="S35"/>
  <c r="T35" s="1"/>
  <c r="Q35"/>
  <c r="H8" i="9"/>
  <c r="S20" i="7"/>
  <c r="T20" s="1"/>
  <c r="H18" i="9"/>
  <c r="H67"/>
  <c r="H53"/>
  <c r="H38" i="10"/>
  <c r="Q38" s="1"/>
  <c r="S36" i="7"/>
  <c r="T36" s="1"/>
  <c r="H58" i="9"/>
  <c r="F7"/>
  <c r="E6" i="11"/>
  <c r="H46" i="10"/>
  <c r="H7"/>
  <c r="H7" i="7"/>
  <c r="Q7" i="10" l="1"/>
  <c r="Q46"/>
  <c r="Q58" i="9"/>
  <c r="Q53"/>
  <c r="H17"/>
  <c r="Q17" s="1"/>
  <c r="Q18"/>
  <c r="H7"/>
  <c r="Q7" s="1"/>
  <c r="Q8"/>
  <c r="Q67"/>
  <c r="S7" i="7"/>
  <c r="T7" s="1"/>
  <c r="Q7"/>
  <c r="H6" i="9" l="1"/>
  <c r="Q6" s="1"/>
  <c r="H31" i="10"/>
  <c r="Q31" s="1"/>
  <c r="G31"/>
  <c r="G6" s="1"/>
  <c r="G53" s="1"/>
  <c r="E31"/>
  <c r="H28"/>
  <c r="H45"/>
  <c r="Q45" s="1"/>
  <c r="H25"/>
  <c r="H26"/>
  <c r="H27"/>
  <c r="H29"/>
  <c r="H30"/>
  <c r="H24"/>
  <c r="Q24" s="1"/>
  <c r="Q30" l="1"/>
  <c r="Q28"/>
  <c r="Q29"/>
  <c r="Q27"/>
  <c r="Q26"/>
  <c r="H43"/>
  <c r="Q43" s="1"/>
  <c r="H8" i="12"/>
  <c r="H9"/>
  <c r="H10"/>
  <c r="H12"/>
  <c r="H13"/>
  <c r="H14"/>
  <c r="H15"/>
  <c r="H16"/>
  <c r="H17"/>
  <c r="H18"/>
  <c r="H19"/>
  <c r="N162" i="21"/>
  <c r="R15" i="12" l="1"/>
  <c r="Q15"/>
  <c r="R14"/>
  <c r="Q14"/>
  <c r="R19"/>
  <c r="Q19"/>
  <c r="R10"/>
  <c r="Q10"/>
  <c r="R18"/>
  <c r="Q18"/>
  <c r="R9"/>
  <c r="Q9"/>
  <c r="R17"/>
  <c r="Q17"/>
  <c r="R13"/>
  <c r="Q13"/>
  <c r="R8"/>
  <c r="Q8"/>
  <c r="R16"/>
  <c r="Q16"/>
  <c r="R12"/>
  <c r="Q12"/>
  <c r="G168" i="21"/>
  <c r="G169" s="1"/>
  <c r="H166"/>
  <c r="H117"/>
  <c r="F32"/>
  <c r="G72" i="22"/>
  <c r="L72" s="1"/>
  <c r="E6" i="34"/>
  <c r="D6"/>
  <c r="E8"/>
  <c r="N91" i="21" s="1"/>
  <c r="D8" i="34"/>
  <c r="F12"/>
  <c r="F11"/>
  <c r="F10"/>
  <c r="F7"/>
  <c r="L7" i="25"/>
  <c r="L8"/>
  <c r="L9"/>
  <c r="L10"/>
  <c r="L11"/>
  <c r="L12"/>
  <c r="L6"/>
  <c r="H31" i="13"/>
  <c r="F6"/>
  <c r="F41" s="1"/>
  <c r="F42" s="1"/>
  <c r="G6"/>
  <c r="E7"/>
  <c r="S8" i="26"/>
  <c r="S7"/>
  <c r="E6" i="15"/>
  <c r="F5" i="8"/>
  <c r="M5" s="1"/>
  <c r="F6"/>
  <c r="M6" s="1"/>
  <c r="F7"/>
  <c r="M7" s="1"/>
  <c r="F8"/>
  <c r="M8" s="1"/>
  <c r="F9"/>
  <c r="M9" s="1"/>
  <c r="F10"/>
  <c r="M10" s="1"/>
  <c r="F11"/>
  <c r="M11" s="1"/>
  <c r="F12"/>
  <c r="M12" s="1"/>
  <c r="F14"/>
  <c r="F15"/>
  <c r="M15" s="1"/>
  <c r="F16"/>
  <c r="M16" s="1"/>
  <c r="F17"/>
  <c r="M17" s="1"/>
  <c r="F18"/>
  <c r="M18" s="1"/>
  <c r="F19"/>
  <c r="M19" s="1"/>
  <c r="F22"/>
  <c r="M22" s="1"/>
  <c r="F23"/>
  <c r="M23" s="1"/>
  <c r="F24"/>
  <c r="M24" s="1"/>
  <c r="F25"/>
  <c r="M25" s="1"/>
  <c r="F26"/>
  <c r="M26" s="1"/>
  <c r="F27"/>
  <c r="M27" s="1"/>
  <c r="F29"/>
  <c r="M29" s="1"/>
  <c r="F30"/>
  <c r="M30" s="1"/>
  <c r="F31"/>
  <c r="M31" s="1"/>
  <c r="F32"/>
  <c r="M32" s="1"/>
  <c r="F33"/>
  <c r="M33" s="1"/>
  <c r="F34"/>
  <c r="M34" s="1"/>
  <c r="F36"/>
  <c r="M36" s="1"/>
  <c r="F37"/>
  <c r="M37" s="1"/>
  <c r="F38"/>
  <c r="M38" s="1"/>
  <c r="F39"/>
  <c r="M39" s="1"/>
  <c r="F40"/>
  <c r="M40" s="1"/>
  <c r="F41"/>
  <c r="M41" s="1"/>
  <c r="F43"/>
  <c r="M43" s="1"/>
  <c r="F44"/>
  <c r="M44" s="1"/>
  <c r="F45"/>
  <c r="M45" s="1"/>
  <c r="F46"/>
  <c r="M46" s="1"/>
  <c r="F47"/>
  <c r="M47" s="1"/>
  <c r="F48"/>
  <c r="M48" s="1"/>
  <c r="F49"/>
  <c r="M49" s="1"/>
  <c r="F51"/>
  <c r="M51" s="1"/>
  <c r="F52"/>
  <c r="M52" s="1"/>
  <c r="F53"/>
  <c r="M53" s="1"/>
  <c r="F54"/>
  <c r="M54" s="1"/>
  <c r="F55"/>
  <c r="M55" s="1"/>
  <c r="F56"/>
  <c r="M56" s="1"/>
  <c r="F58"/>
  <c r="M58" s="1"/>
  <c r="F59"/>
  <c r="M59" s="1"/>
  <c r="F60"/>
  <c r="M60" s="1"/>
  <c r="F61"/>
  <c r="M61" s="1"/>
  <c r="F62"/>
  <c r="M62" s="1"/>
  <c r="U31" i="13" l="1"/>
  <c r="D5" i="34"/>
  <c r="G41" i="13"/>
  <c r="G42" s="1"/>
  <c r="AU402" i="4"/>
  <c r="M14" i="8"/>
  <c r="F13"/>
  <c r="E5" i="34"/>
  <c r="O9" i="21" s="1"/>
  <c r="F35" i="8"/>
  <c r="F21"/>
  <c r="F6" i="34"/>
  <c r="L5" i="25"/>
  <c r="H7" i="13"/>
  <c r="F57" i="8"/>
  <c r="F28"/>
  <c r="F4"/>
  <c r="F42"/>
  <c r="F50"/>
  <c r="M153" i="21" s="1"/>
  <c r="F8" i="34"/>
  <c r="U7" i="13" l="1"/>
  <c r="Q7"/>
  <c r="M4" i="21"/>
  <c r="M5" s="1"/>
  <c r="F5" i="34"/>
  <c r="P4" i="21" s="1"/>
  <c r="P5" s="1"/>
  <c r="F3" i="8"/>
  <c r="X6" i="10"/>
  <c r="V6"/>
  <c r="N6" i="21" l="1"/>
  <c r="C63" i="23"/>
  <c r="G62"/>
  <c r="D62"/>
  <c r="D63" s="1"/>
  <c r="D33"/>
  <c r="F28"/>
  <c r="F80" i="24"/>
  <c r="F56" l="1"/>
  <c r="F88" s="1"/>
  <c r="H88" s="1"/>
  <c r="G70"/>
  <c r="G56" l="1"/>
  <c r="I11"/>
  <c r="I13" s="1"/>
  <c r="BH171" i="4"/>
  <c r="Z113" i="2"/>
  <c r="F9" i="23" l="1"/>
  <c r="AC8" i="14"/>
  <c r="AC9"/>
  <c r="AC10"/>
  <c r="AC11"/>
  <c r="AC12"/>
  <c r="AC13"/>
  <c r="AC14"/>
  <c r="AC15"/>
  <c r="AC16"/>
  <c r="AC17"/>
  <c r="AC18"/>
  <c r="AC20"/>
  <c r="AC21"/>
  <c r="AC22"/>
  <c r="AC24"/>
  <c r="AC25"/>
  <c r="AC26"/>
  <c r="AC27"/>
  <c r="BE48" i="4" l="1"/>
  <c r="BE49"/>
  <c r="BE51"/>
  <c r="BE52"/>
  <c r="BE53"/>
  <c r="BE57"/>
  <c r="BE58"/>
  <c r="BE59"/>
  <c r="BE61"/>
  <c r="BE62"/>
  <c r="BE63"/>
  <c r="BE64"/>
  <c r="BE65"/>
  <c r="BE66"/>
  <c r="BE67"/>
  <c r="BE68"/>
  <c r="BE69"/>
  <c r="BE70"/>
  <c r="BE73"/>
  <c r="BE76"/>
  <c r="BF76" s="1"/>
  <c r="BG47"/>
  <c r="BG50"/>
  <c r="BG17"/>
  <c r="BG10"/>
  <c r="BG13"/>
  <c r="BG37"/>
  <c r="BG82"/>
  <c r="BG85"/>
  <c r="BG89"/>
  <c r="BG96"/>
  <c r="BG106"/>
  <c r="BG109"/>
  <c r="BG113"/>
  <c r="BG120"/>
  <c r="BG132"/>
  <c r="BG141"/>
  <c r="BG153"/>
  <c r="BH162"/>
  <c r="BH170"/>
  <c r="BG185"/>
  <c r="BG202"/>
  <c r="BG214"/>
  <c r="BG217"/>
  <c r="BG221"/>
  <c r="BG256"/>
  <c r="BG260"/>
  <c r="BG268"/>
  <c r="BG310"/>
  <c r="BG314"/>
  <c r="BG322"/>
  <c r="BG389"/>
  <c r="BG380"/>
  <c r="BG383"/>
  <c r="BG387"/>
  <c r="BG395"/>
  <c r="BG400"/>
  <c r="BG409"/>
  <c r="BG426"/>
  <c r="BG429"/>
  <c r="BG439"/>
  <c r="BG442"/>
  <c r="BG446"/>
  <c r="BG456"/>
  <c r="BG465"/>
  <c r="BG470"/>
  <c r="BG473"/>
  <c r="BG478"/>
  <c r="BG487"/>
  <c r="BG496"/>
  <c r="BG501"/>
  <c r="BG504"/>
  <c r="BG509"/>
  <c r="BG527"/>
  <c r="L31" i="21"/>
  <c r="L50"/>
  <c r="L51"/>
  <c r="L78"/>
  <c r="L90"/>
  <c r="L119"/>
  <c r="L152"/>
  <c r="L161"/>
  <c r="T22" i="11"/>
  <c r="T23"/>
  <c r="T8" i="10"/>
  <c r="T10"/>
  <c r="T11"/>
  <c r="T12"/>
  <c r="T13"/>
  <c r="T14"/>
  <c r="T15"/>
  <c r="T16"/>
  <c r="T17"/>
  <c r="T18"/>
  <c r="T19"/>
  <c r="T20"/>
  <c r="T21"/>
  <c r="T22"/>
  <c r="T23"/>
  <c r="U23" s="1"/>
  <c r="T24"/>
  <c r="T25"/>
  <c r="U25" s="1"/>
  <c r="T26"/>
  <c r="T27"/>
  <c r="T29"/>
  <c r="T30"/>
  <c r="T33"/>
  <c r="T34"/>
  <c r="T35"/>
  <c r="T36"/>
  <c r="T37"/>
  <c r="T39"/>
  <c r="T40"/>
  <c r="T41"/>
  <c r="T42"/>
  <c r="T44"/>
  <c r="T45"/>
  <c r="T46"/>
  <c r="T48"/>
  <c r="F31"/>
  <c r="T47"/>
  <c r="H76" i="9"/>
  <c r="G18"/>
  <c r="G17" s="1"/>
  <c r="G6" s="1"/>
  <c r="F18"/>
  <c r="U44"/>
  <c r="U60"/>
  <c r="H19" i="7"/>
  <c r="Q19" s="1"/>
  <c r="G19"/>
  <c r="G6" s="1"/>
  <c r="F19"/>
  <c r="E19"/>
  <c r="BE7" i="4"/>
  <c r="BF7" s="1"/>
  <c r="BE79"/>
  <c r="BF79" s="1"/>
  <c r="BE103"/>
  <c r="BF103" s="1"/>
  <c r="BE129"/>
  <c r="BF129" s="1"/>
  <c r="BE249"/>
  <c r="BE274"/>
  <c r="BF274" s="1"/>
  <c r="BE279"/>
  <c r="BF279" s="1"/>
  <c r="BE288"/>
  <c r="BF288" s="1"/>
  <c r="BE298"/>
  <c r="BF298" s="1"/>
  <c r="BE303"/>
  <c r="BF303" s="1"/>
  <c r="BE376"/>
  <c r="BF376" s="1"/>
  <c r="BE413"/>
  <c r="BF413" s="1"/>
  <c r="BE415"/>
  <c r="BF415" s="1"/>
  <c r="BE435"/>
  <c r="BF435" s="1"/>
  <c r="BE467"/>
  <c r="BF467" s="1"/>
  <c r="BE498"/>
  <c r="BF498" s="1"/>
  <c r="H6" i="7" l="1"/>
  <c r="Q6" s="1"/>
  <c r="F17" i="9"/>
  <c r="S19" i="7"/>
  <c r="T19" s="1"/>
  <c r="E40"/>
  <c r="F6"/>
  <c r="F40"/>
  <c r="F42" s="1"/>
  <c r="G43"/>
  <c r="G44" s="1"/>
  <c r="AV277" i="4"/>
  <c r="E6" i="9"/>
  <c r="AV283" i="4"/>
  <c r="F6" i="10"/>
  <c r="E6" i="7"/>
  <c r="BH169" i="4"/>
  <c r="BC439"/>
  <c r="BD400"/>
  <c r="BC5"/>
  <c r="BC7"/>
  <c r="BC11"/>
  <c r="BC12"/>
  <c r="BC14"/>
  <c r="BC15"/>
  <c r="BC16"/>
  <c r="BC18"/>
  <c r="BC20"/>
  <c r="BC21"/>
  <c r="BC22"/>
  <c r="BC23"/>
  <c r="BC24"/>
  <c r="BC25"/>
  <c r="BC27"/>
  <c r="BC28"/>
  <c r="BC29"/>
  <c r="BC30"/>
  <c r="BC31"/>
  <c r="BC32"/>
  <c r="BC33"/>
  <c r="BC35"/>
  <c r="BC36"/>
  <c r="BC38"/>
  <c r="BC39"/>
  <c r="BC40"/>
  <c r="BC41"/>
  <c r="BC42"/>
  <c r="BC44"/>
  <c r="BC48"/>
  <c r="BC49"/>
  <c r="BC51"/>
  <c r="BC52"/>
  <c r="BC53"/>
  <c r="BC79"/>
  <c r="BC83"/>
  <c r="BC84"/>
  <c r="BC86"/>
  <c r="BC87"/>
  <c r="BC88"/>
  <c r="BC89"/>
  <c r="BC90"/>
  <c r="BC92"/>
  <c r="BC93"/>
  <c r="BC94"/>
  <c r="BC97"/>
  <c r="BC98"/>
  <c r="BC100"/>
  <c r="BC101"/>
  <c r="BC103"/>
  <c r="BC107"/>
  <c r="BC108"/>
  <c r="BC110"/>
  <c r="BC111"/>
  <c r="BC112"/>
  <c r="BC114"/>
  <c r="BC116"/>
  <c r="BC117"/>
  <c r="BC118"/>
  <c r="BC119"/>
  <c r="BC121"/>
  <c r="BC122"/>
  <c r="BC123"/>
  <c r="BC124"/>
  <c r="BC125"/>
  <c r="BC127"/>
  <c r="BC129"/>
  <c r="BD129" s="1"/>
  <c r="BC133"/>
  <c r="BD133" s="1"/>
  <c r="BC134"/>
  <c r="BD134" s="1"/>
  <c r="BC137"/>
  <c r="BC138"/>
  <c r="BC139"/>
  <c r="BC140"/>
  <c r="BC142"/>
  <c r="BC144"/>
  <c r="BC145"/>
  <c r="BC146"/>
  <c r="BC147"/>
  <c r="BC148"/>
  <c r="BC149"/>
  <c r="BC150"/>
  <c r="BC151"/>
  <c r="BC152"/>
  <c r="BC154"/>
  <c r="BC155"/>
  <c r="BC156"/>
  <c r="BC157"/>
  <c r="BC158"/>
  <c r="BC159"/>
  <c r="BC160"/>
  <c r="BC161"/>
  <c r="BC163"/>
  <c r="BC165"/>
  <c r="BC166"/>
  <c r="BC167"/>
  <c r="BC168"/>
  <c r="BC171"/>
  <c r="BC172"/>
  <c r="BC173"/>
  <c r="BC174"/>
  <c r="BC175"/>
  <c r="BC176"/>
  <c r="BC177"/>
  <c r="BC178"/>
  <c r="BC179"/>
  <c r="BC180"/>
  <c r="BC181"/>
  <c r="BC182"/>
  <c r="BC183"/>
  <c r="BC184"/>
  <c r="BC186"/>
  <c r="BC188"/>
  <c r="BC189"/>
  <c r="BC190"/>
  <c r="BC191"/>
  <c r="BC192"/>
  <c r="BC193"/>
  <c r="BC194"/>
  <c r="BC195"/>
  <c r="BC196"/>
  <c r="BC197"/>
  <c r="BC198"/>
  <c r="BC199"/>
  <c r="BC200"/>
  <c r="BC201"/>
  <c r="BC204"/>
  <c r="BC205"/>
  <c r="BC206"/>
  <c r="BC207"/>
  <c r="BC208"/>
  <c r="BC209"/>
  <c r="BC211"/>
  <c r="BD211" s="1"/>
  <c r="BC215"/>
  <c r="BC216"/>
  <c r="BC218"/>
  <c r="BC219"/>
  <c r="BC220"/>
  <c r="BC221"/>
  <c r="BC222"/>
  <c r="BC224"/>
  <c r="BC225"/>
  <c r="BC226"/>
  <c r="BC227"/>
  <c r="BC228"/>
  <c r="BC229"/>
  <c r="BC230"/>
  <c r="BC231"/>
  <c r="BC233"/>
  <c r="BC234"/>
  <c r="BC236"/>
  <c r="BC237"/>
  <c r="BC238"/>
  <c r="BC239"/>
  <c r="BC240"/>
  <c r="BC241"/>
  <c r="BC242"/>
  <c r="BC243"/>
  <c r="BC244"/>
  <c r="BC245"/>
  <c r="BC246"/>
  <c r="BC247"/>
  <c r="BC248"/>
  <c r="BC250"/>
  <c r="BC257"/>
  <c r="BD257" s="1"/>
  <c r="BC258"/>
  <c r="BD258" s="1"/>
  <c r="BC259"/>
  <c r="BD259" s="1"/>
  <c r="BC260"/>
  <c r="BD260" s="1"/>
  <c r="BC261"/>
  <c r="BD261" s="1"/>
  <c r="BC263"/>
  <c r="BD263" s="1"/>
  <c r="BC264"/>
  <c r="BD264" s="1"/>
  <c r="BC265"/>
  <c r="BD265" s="1"/>
  <c r="BC266"/>
  <c r="BD266" s="1"/>
  <c r="BC267"/>
  <c r="BD267" s="1"/>
  <c r="BC269"/>
  <c r="BD269" s="1"/>
  <c r="BC270"/>
  <c r="BD270" s="1"/>
  <c r="BC271"/>
  <c r="BD271" s="1"/>
  <c r="BC272"/>
  <c r="BD272" s="1"/>
  <c r="BC273"/>
  <c r="BD273" s="1"/>
  <c r="BC274"/>
  <c r="BD274" s="1"/>
  <c r="BC281"/>
  <c r="BC282"/>
  <c r="BC286"/>
  <c r="BC288"/>
  <c r="BC289"/>
  <c r="BC291"/>
  <c r="BC293"/>
  <c r="BC298"/>
  <c r="BC299"/>
  <c r="BC301"/>
  <c r="BC304"/>
  <c r="BC311"/>
  <c r="BD311" s="1"/>
  <c r="BC312"/>
  <c r="BD312" s="1"/>
  <c r="BC313"/>
  <c r="BD313" s="1"/>
  <c r="BC315"/>
  <c r="BD315" s="1"/>
  <c r="BD317"/>
  <c r="BC318"/>
  <c r="BD318" s="1"/>
  <c r="BC319"/>
  <c r="BD319" s="1"/>
  <c r="BC320"/>
  <c r="BD320" s="1"/>
  <c r="BC321"/>
  <c r="BD321" s="1"/>
  <c r="BC323"/>
  <c r="BD323" s="1"/>
  <c r="BC324"/>
  <c r="BD324" s="1"/>
  <c r="BC325"/>
  <c r="BD325" s="1"/>
  <c r="BC326"/>
  <c r="BD326" s="1"/>
  <c r="BC327"/>
  <c r="BD327" s="1"/>
  <c r="BC328"/>
  <c r="BD328" s="1"/>
  <c r="BC329"/>
  <c r="BD329" s="1"/>
  <c r="BC330"/>
  <c r="BD330" s="1"/>
  <c r="BC346"/>
  <c r="BC348"/>
  <c r="BC349"/>
  <c r="BC353"/>
  <c r="BC357"/>
  <c r="BC363"/>
  <c r="BC364"/>
  <c r="BC377"/>
  <c r="BC381"/>
  <c r="BC382"/>
  <c r="BC384"/>
  <c r="BC385"/>
  <c r="BC386"/>
  <c r="BC387"/>
  <c r="BC388"/>
  <c r="BC390"/>
  <c r="BC391"/>
  <c r="BC392"/>
  <c r="BC393"/>
  <c r="BC394"/>
  <c r="BC396"/>
  <c r="BC397"/>
  <c r="BC398"/>
  <c r="BC399"/>
  <c r="BC406"/>
  <c r="BC415"/>
  <c r="BC416"/>
  <c r="BC417"/>
  <c r="BC418"/>
  <c r="BC427"/>
  <c r="BC428"/>
  <c r="BC430"/>
  <c r="BC431"/>
  <c r="BC433"/>
  <c r="BC434"/>
  <c r="BC436"/>
  <c r="BC440"/>
  <c r="BC441"/>
  <c r="BC443"/>
  <c r="BC444"/>
  <c r="BC445"/>
  <c r="BC447"/>
  <c r="BC466"/>
  <c r="BC469"/>
  <c r="BC470"/>
  <c r="BC472"/>
  <c r="BC473"/>
  <c r="BC474"/>
  <c r="BC475"/>
  <c r="BC477"/>
  <c r="BC479"/>
  <c r="BC480"/>
  <c r="BC481"/>
  <c r="BC482"/>
  <c r="BC483"/>
  <c r="BC484"/>
  <c r="BC486"/>
  <c r="BC487"/>
  <c r="BC488"/>
  <c r="BC489"/>
  <c r="BC490"/>
  <c r="BC491"/>
  <c r="BC492"/>
  <c r="BC493"/>
  <c r="BC495"/>
  <c r="BC497"/>
  <c r="BC500"/>
  <c r="BC501"/>
  <c r="BC503"/>
  <c r="BC504"/>
  <c r="BC505"/>
  <c r="BC506"/>
  <c r="BC508"/>
  <c r="BC510"/>
  <c r="BC511"/>
  <c r="BC512"/>
  <c r="BC513"/>
  <c r="BC514"/>
  <c r="BC515"/>
  <c r="BC517"/>
  <c r="BC518"/>
  <c r="BC519"/>
  <c r="BC520"/>
  <c r="BC521"/>
  <c r="BC522"/>
  <c r="BC526"/>
  <c r="BC527"/>
  <c r="X40" i="3"/>
  <c r="AB38" i="2"/>
  <c r="AB51"/>
  <c r="AB59"/>
  <c r="AB76"/>
  <c r="AB85"/>
  <c r="AB95"/>
  <c r="AB104"/>
  <c r="AB175"/>
  <c r="AB187"/>
  <c r="H43" i="7" l="1"/>
  <c r="H44" s="1"/>
  <c r="AV276" i="4"/>
  <c r="AT446"/>
  <c r="AT442"/>
  <c r="F6" i="9"/>
  <c r="AT509" i="4"/>
  <c r="AT501"/>
  <c r="W7" i="10"/>
  <c r="F53"/>
  <c r="F43" i="7"/>
  <c r="F44" s="1"/>
  <c r="E43"/>
  <c r="E44" s="1"/>
  <c r="S6"/>
  <c r="T6" s="1"/>
  <c r="AV509" i="4"/>
  <c r="AW509" s="1"/>
  <c r="AV501"/>
  <c r="AW501" s="1"/>
  <c r="AV446"/>
  <c r="AW446" s="1"/>
  <c r="AV442"/>
  <c r="AW442" s="1"/>
  <c r="H40" i="7"/>
  <c r="E42"/>
  <c r="BG376" i="4"/>
  <c r="BC502"/>
  <c r="BC525"/>
  <c r="BG448"/>
  <c r="BG435" s="1"/>
  <c r="BC499"/>
  <c r="BG511"/>
  <c r="BG498" s="1"/>
  <c r="BC426"/>
  <c r="BG480"/>
  <c r="BG467" s="1"/>
  <c r="BC485"/>
  <c r="AT480"/>
  <c r="BC516"/>
  <c r="BC507"/>
  <c r="H42" i="7" l="1"/>
  <c r="Q40"/>
  <c r="AT438" i="4"/>
  <c r="AT500"/>
  <c r="AT511"/>
  <c r="S42" i="7"/>
  <c r="AV280" i="4"/>
  <c r="S40" i="7"/>
  <c r="AV480" i="4"/>
  <c r="AW480" s="1"/>
  <c r="AV511"/>
  <c r="AW511" s="1"/>
  <c r="AV500"/>
  <c r="AW500" s="1"/>
  <c r="AV438"/>
  <c r="AW438" s="1"/>
  <c r="BD467"/>
  <c r="AT467"/>
  <c r="AC25" i="2"/>
  <c r="AC132"/>
  <c r="AC146" s="1"/>
  <c r="AC41"/>
  <c r="AC127"/>
  <c r="AC170"/>
  <c r="AC164"/>
  <c r="AC161"/>
  <c r="AC113"/>
  <c r="AT437" i="4" l="1"/>
  <c r="AT435"/>
  <c r="AV467"/>
  <c r="AW467" s="1"/>
  <c r="AV437"/>
  <c r="AW437" s="1"/>
  <c r="AW498"/>
  <c r="BC498"/>
  <c r="AV435" l="1"/>
  <c r="AW435" s="1"/>
  <c r="BC494"/>
  <c r="AT498"/>
  <c r="BC509"/>
  <c r="BC496" l="1"/>
  <c r="T9" i="10"/>
  <c r="T31"/>
  <c r="T32"/>
  <c r="M42" i="8"/>
  <c r="M35"/>
  <c r="M28"/>
  <c r="M21"/>
  <c r="M13"/>
  <c r="M4"/>
  <c r="M162" i="21" l="1"/>
  <c r="M163" s="1"/>
  <c r="M57" i="8"/>
  <c r="M154" i="21"/>
  <c r="M50" i="8"/>
  <c r="M3"/>
  <c r="AS223" i="4" l="1"/>
  <c r="AS210" s="1"/>
  <c r="AT232"/>
  <c r="AU223"/>
  <c r="AU210" s="1"/>
  <c r="AV232"/>
  <c r="AW232" s="1"/>
  <c r="AT223"/>
  <c r="BC235"/>
  <c r="BG232"/>
  <c r="AV223" l="1"/>
  <c r="AW223" s="1"/>
  <c r="AT212"/>
  <c r="BG316"/>
  <c r="AV212" l="1"/>
  <c r="AW212" s="1"/>
  <c r="AT309"/>
  <c r="AT255"/>
  <c r="AT308" l="1"/>
  <c r="AS307"/>
  <c r="AS253"/>
  <c r="AT254"/>
  <c r="AU253"/>
  <c r="AU307"/>
  <c r="AV308"/>
  <c r="AW308" s="1"/>
  <c r="AV309"/>
  <c r="AW309" s="1"/>
  <c r="AV254"/>
  <c r="AW254" s="1"/>
  <c r="AV255"/>
  <c r="AW255" s="1"/>
  <c r="AT307"/>
  <c r="BG307"/>
  <c r="BC255"/>
  <c r="BD255" s="1"/>
  <c r="BC309"/>
  <c r="BD309" s="1"/>
  <c r="BC254"/>
  <c r="BD254" s="1"/>
  <c r="BG253"/>
  <c r="BC308"/>
  <c r="BD308" s="1"/>
  <c r="BD253"/>
  <c r="D34" i="24"/>
  <c r="AV307" i="4" l="1"/>
  <c r="AW307" s="1"/>
  <c r="AT306"/>
  <c r="F29" i="15"/>
  <c r="F28"/>
  <c r="E5"/>
  <c r="T11" i="26"/>
  <c r="T10"/>
  <c r="T8"/>
  <c r="H28" i="13"/>
  <c r="Q28" s="1"/>
  <c r="H27"/>
  <c r="Q27" s="1"/>
  <c r="E32"/>
  <c r="E38" s="1"/>
  <c r="E8"/>
  <c r="U27" l="1"/>
  <c r="U28"/>
  <c r="F5" i="15"/>
  <c r="AU527" i="4" s="1"/>
  <c r="AU498" s="1"/>
  <c r="E40" i="13"/>
  <c r="H38"/>
  <c r="AT305" i="4"/>
  <c r="AV306"/>
  <c r="AW306" s="1"/>
  <c r="H6" i="26"/>
  <c r="E6" i="13"/>
  <c r="U32"/>
  <c r="T7" i="26"/>
  <c r="BC306" i="4"/>
  <c r="BD306" s="1"/>
  <c r="H6" i="13"/>
  <c r="Q6" s="1"/>
  <c r="H8"/>
  <c r="E26" i="16"/>
  <c r="AU429" i="4" l="1"/>
  <c r="Q6" i="26"/>
  <c r="H40" i="13"/>
  <c r="Q37"/>
  <c r="U8"/>
  <c r="Q8"/>
  <c r="E41"/>
  <c r="E42" s="1"/>
  <c r="AU401" i="4"/>
  <c r="H41" i="13"/>
  <c r="H42" s="1"/>
  <c r="AU400" i="4"/>
  <c r="AU376" s="1"/>
  <c r="U37" i="13"/>
  <c r="AV305" i="4"/>
  <c r="AW305" s="1"/>
  <c r="U6" i="13"/>
  <c r="F6" i="12"/>
  <c r="E6"/>
  <c r="AX305" i="4" l="1"/>
  <c r="H6" i="12"/>
  <c r="Q6" s="1"/>
  <c r="BG331" i="4"/>
  <c r="BC294"/>
  <c r="BG287"/>
  <c r="AT331"/>
  <c r="C6" i="2"/>
  <c r="AT278" i="4"/>
  <c r="R6" i="12" l="1"/>
  <c r="AT277" i="4"/>
  <c r="AS276"/>
  <c r="AW277"/>
  <c r="AU276"/>
  <c r="AV278"/>
  <c r="AW278" s="1"/>
  <c r="AV331"/>
  <c r="AW331" s="1"/>
  <c r="BD331"/>
  <c r="AT276"/>
  <c r="BG276"/>
  <c r="AT284"/>
  <c r="AW276" l="1"/>
  <c r="BD276"/>
  <c r="K36" i="3"/>
  <c r="BC284" i="4"/>
  <c r="AW285"/>
  <c r="C33" i="23"/>
  <c r="T36" i="3" l="1"/>
  <c r="P36"/>
  <c r="W36"/>
  <c r="AT285" i="4"/>
  <c r="U37" i="3"/>
  <c r="I25" i="16"/>
  <c r="Z37" i="3"/>
  <c r="X37"/>
  <c r="BC285" i="4"/>
  <c r="F86" i="24"/>
  <c r="E43" i="10" l="1"/>
  <c r="H6"/>
  <c r="Q6" s="1"/>
  <c r="AV287" i="4" l="1"/>
  <c r="AW287" s="1"/>
  <c r="AS280"/>
  <c r="AS249" s="1"/>
  <c r="AT283"/>
  <c r="AW283"/>
  <c r="AU280"/>
  <c r="AU249" s="1"/>
  <c r="BG280"/>
  <c r="T43" i="10"/>
  <c r="AW280" i="4"/>
  <c r="BC283"/>
  <c r="G50" i="23"/>
  <c r="E8"/>
  <c r="F121" s="1"/>
  <c r="F70" i="24"/>
  <c r="F34"/>
  <c r="F39" s="1"/>
  <c r="F19"/>
  <c r="E86"/>
  <c r="E80"/>
  <c r="E70"/>
  <c r="E56"/>
  <c r="E43"/>
  <c r="E34"/>
  <c r="E39" s="1"/>
  <c r="E19"/>
  <c r="E23" s="1"/>
  <c r="E12"/>
  <c r="M97" i="21"/>
  <c r="BD280" i="4" l="1"/>
  <c r="E88" i="24"/>
  <c r="G79" i="21"/>
  <c r="F120"/>
  <c r="H151"/>
  <c r="L151" s="1"/>
  <c r="H89"/>
  <c r="L89" s="1"/>
  <c r="G71" i="22"/>
  <c r="L71" s="1"/>
  <c r="G70"/>
  <c r="L70" s="1"/>
  <c r="G69"/>
  <c r="L69" s="1"/>
  <c r="G68"/>
  <c r="L68" s="1"/>
  <c r="G66"/>
  <c r="L66" s="1"/>
  <c r="G65"/>
  <c r="L65" s="1"/>
  <c r="G64"/>
  <c r="L64" s="1"/>
  <c r="G63"/>
  <c r="L63" s="1"/>
  <c r="G62"/>
  <c r="L62" s="1"/>
  <c r="G61"/>
  <c r="L61" s="1"/>
  <c r="G60"/>
  <c r="L60" s="1"/>
  <c r="G59"/>
  <c r="L59" s="1"/>
  <c r="G58"/>
  <c r="L58" s="1"/>
  <c r="G57"/>
  <c r="L57" s="1"/>
  <c r="G56"/>
  <c r="L56" s="1"/>
  <c r="G55"/>
  <c r="L55" s="1"/>
  <c r="G54"/>
  <c r="L54" s="1"/>
  <c r="G53"/>
  <c r="L53" s="1"/>
  <c r="G52"/>
  <c r="L52" s="1"/>
  <c r="G51"/>
  <c r="L51" s="1"/>
  <c r="G50"/>
  <c r="L50" s="1"/>
  <c r="G49"/>
  <c r="L49" s="1"/>
  <c r="G48"/>
  <c r="L48" s="1"/>
  <c r="G47"/>
  <c r="L47" s="1"/>
  <c r="G46"/>
  <c r="L46" s="1"/>
  <c r="G45"/>
  <c r="L45" s="1"/>
  <c r="G44"/>
  <c r="L44" s="1"/>
  <c r="G43"/>
  <c r="L43" s="1"/>
  <c r="G42"/>
  <c r="L42" s="1"/>
  <c r="G41"/>
  <c r="L41" s="1"/>
  <c r="G40"/>
  <c r="L40" s="1"/>
  <c r="G39"/>
  <c r="L39" s="1"/>
  <c r="G38"/>
  <c r="L38" s="1"/>
  <c r="G37"/>
  <c r="L37" s="1"/>
  <c r="G36"/>
  <c r="L36" s="1"/>
  <c r="G35"/>
  <c r="L35" s="1"/>
  <c r="G34"/>
  <c r="L34" s="1"/>
  <c r="G33"/>
  <c r="L33" s="1"/>
  <c r="G32"/>
  <c r="L32" s="1"/>
  <c r="G31"/>
  <c r="L31" s="1"/>
  <c r="G30"/>
  <c r="L30" s="1"/>
  <c r="G29"/>
  <c r="L29" s="1"/>
  <c r="G28"/>
  <c r="L28" s="1"/>
  <c r="G27"/>
  <c r="L27" s="1"/>
  <c r="G26"/>
  <c r="L26" s="1"/>
  <c r="G25"/>
  <c r="L25" s="1"/>
  <c r="G24"/>
  <c r="L24" s="1"/>
  <c r="G23"/>
  <c r="L23" s="1"/>
  <c r="G22"/>
  <c r="L22" s="1"/>
  <c r="G21"/>
  <c r="L21" s="1"/>
  <c r="G20"/>
  <c r="L20" s="1"/>
  <c r="G19"/>
  <c r="L19" s="1"/>
  <c r="G18"/>
  <c r="L18" s="1"/>
  <c r="G16"/>
  <c r="L16" s="1"/>
  <c r="G15"/>
  <c r="L15" s="1"/>
  <c r="G14"/>
  <c r="L14" s="1"/>
  <c r="G13"/>
  <c r="L13" s="1"/>
  <c r="G12"/>
  <c r="L12" s="1"/>
  <c r="H167" i="21"/>
  <c r="L167" s="1"/>
  <c r="H165"/>
  <c r="H164"/>
  <c r="H163"/>
  <c r="H160"/>
  <c r="L160" s="1"/>
  <c r="H158"/>
  <c r="L158" s="1"/>
  <c r="L155"/>
  <c r="H154"/>
  <c r="H150"/>
  <c r="L150" s="1"/>
  <c r="H149"/>
  <c r="L149" s="1"/>
  <c r="H148"/>
  <c r="L148" s="1"/>
  <c r="H147"/>
  <c r="L147" s="1"/>
  <c r="H146"/>
  <c r="L146" s="1"/>
  <c r="H145"/>
  <c r="L145" s="1"/>
  <c r="H144"/>
  <c r="L144" s="1"/>
  <c r="H143"/>
  <c r="L143" s="1"/>
  <c r="H142"/>
  <c r="L142" s="1"/>
  <c r="H141"/>
  <c r="L141" s="1"/>
  <c r="H140"/>
  <c r="L140" s="1"/>
  <c r="H139"/>
  <c r="L139" s="1"/>
  <c r="H138"/>
  <c r="L138" s="1"/>
  <c r="H137"/>
  <c r="L137" s="1"/>
  <c r="H136"/>
  <c r="L136" s="1"/>
  <c r="H135"/>
  <c r="L135" s="1"/>
  <c r="H134"/>
  <c r="L134" s="1"/>
  <c r="H133"/>
  <c r="L133" s="1"/>
  <c r="H132"/>
  <c r="L132" s="1"/>
  <c r="H131"/>
  <c r="L131" s="1"/>
  <c r="H130"/>
  <c r="L130" s="1"/>
  <c r="H129"/>
  <c r="L129" s="1"/>
  <c r="H128"/>
  <c r="L128" s="1"/>
  <c r="H127"/>
  <c r="L127" s="1"/>
  <c r="H126"/>
  <c r="L126" s="1"/>
  <c r="H125"/>
  <c r="L125" s="1"/>
  <c r="H124"/>
  <c r="L124" s="1"/>
  <c r="H123"/>
  <c r="L123" s="1"/>
  <c r="H122"/>
  <c r="L122" s="1"/>
  <c r="H121"/>
  <c r="H118"/>
  <c r="L118" s="1"/>
  <c r="H116"/>
  <c r="L116" s="1"/>
  <c r="H115"/>
  <c r="L115" s="1"/>
  <c r="H114"/>
  <c r="L114" s="1"/>
  <c r="H113"/>
  <c r="L113" s="1"/>
  <c r="H112"/>
  <c r="L112" s="1"/>
  <c r="H111"/>
  <c r="L111" s="1"/>
  <c r="H110"/>
  <c r="L110" s="1"/>
  <c r="H109"/>
  <c r="L109" s="1"/>
  <c r="H108"/>
  <c r="L108" s="1"/>
  <c r="H107"/>
  <c r="L107" s="1"/>
  <c r="H106"/>
  <c r="L106" s="1"/>
  <c r="H105"/>
  <c r="L105" s="1"/>
  <c r="H104"/>
  <c r="L104" s="1"/>
  <c r="H103"/>
  <c r="L103" s="1"/>
  <c r="H102"/>
  <c r="L102" s="1"/>
  <c r="H101"/>
  <c r="L101" s="1"/>
  <c r="H100"/>
  <c r="L100" s="1"/>
  <c r="H99"/>
  <c r="L99" s="1"/>
  <c r="H97"/>
  <c r="L97" s="1"/>
  <c r="H96"/>
  <c r="H88"/>
  <c r="L88" s="1"/>
  <c r="H87"/>
  <c r="L87" s="1"/>
  <c r="H86"/>
  <c r="L86" s="1"/>
  <c r="H85"/>
  <c r="L85" s="1"/>
  <c r="H84"/>
  <c r="L84" s="1"/>
  <c r="H83"/>
  <c r="L83" s="1"/>
  <c r="H82"/>
  <c r="L82" s="1"/>
  <c r="H81"/>
  <c r="L81" s="1"/>
  <c r="H80"/>
  <c r="H77"/>
  <c r="L77" s="1"/>
  <c r="H76"/>
  <c r="L76" s="1"/>
  <c r="H75"/>
  <c r="L75" s="1"/>
  <c r="H74"/>
  <c r="L74" s="1"/>
  <c r="H73"/>
  <c r="L73" s="1"/>
  <c r="H72"/>
  <c r="L72" s="1"/>
  <c r="H71"/>
  <c r="L71" s="1"/>
  <c r="H70"/>
  <c r="L70" s="1"/>
  <c r="H69"/>
  <c r="L69" s="1"/>
  <c r="H68"/>
  <c r="L68" s="1"/>
  <c r="H67"/>
  <c r="L67" s="1"/>
  <c r="H66"/>
  <c r="L66" s="1"/>
  <c r="H65"/>
  <c r="L65" s="1"/>
  <c r="H64"/>
  <c r="L64" s="1"/>
  <c r="H63"/>
  <c r="L63" s="1"/>
  <c r="H62"/>
  <c r="L62" s="1"/>
  <c r="H61"/>
  <c r="L61" s="1"/>
  <c r="H60"/>
  <c r="L60" s="1"/>
  <c r="H59"/>
  <c r="L59" s="1"/>
  <c r="H58"/>
  <c r="L58" s="1"/>
  <c r="H57"/>
  <c r="L57" s="1"/>
  <c r="H56"/>
  <c r="L56" s="1"/>
  <c r="H49"/>
  <c r="L49" s="1"/>
  <c r="H48"/>
  <c r="L48" s="1"/>
  <c r="H47"/>
  <c r="L47" s="1"/>
  <c r="H46"/>
  <c r="L46" s="1"/>
  <c r="H45"/>
  <c r="L45" s="1"/>
  <c r="H44"/>
  <c r="L44" s="1"/>
  <c r="H43"/>
  <c r="L43" s="1"/>
  <c r="H42"/>
  <c r="L42" s="1"/>
  <c r="H41"/>
  <c r="L41" s="1"/>
  <c r="H40"/>
  <c r="L40" s="1"/>
  <c r="H39"/>
  <c r="L39" s="1"/>
  <c r="H38"/>
  <c r="L38" s="1"/>
  <c r="H37"/>
  <c r="L37" s="1"/>
  <c r="H36"/>
  <c r="L36" s="1"/>
  <c r="H35"/>
  <c r="L35" s="1"/>
  <c r="H34"/>
  <c r="L34" s="1"/>
  <c r="H30"/>
  <c r="L30" s="1"/>
  <c r="H29"/>
  <c r="L29" s="1"/>
  <c r="H28"/>
  <c r="L28" s="1"/>
  <c r="H27"/>
  <c r="L27" s="1"/>
  <c r="H26"/>
  <c r="L26" s="1"/>
  <c r="H25"/>
  <c r="L25" s="1"/>
  <c r="H24"/>
  <c r="H23"/>
  <c r="L23" s="1"/>
  <c r="H22"/>
  <c r="L22" s="1"/>
  <c r="H21"/>
  <c r="L21" s="1"/>
  <c r="H20"/>
  <c r="L20" s="1"/>
  <c r="H19"/>
  <c r="L19" s="1"/>
  <c r="H18"/>
  <c r="L18" s="1"/>
  <c r="H17"/>
  <c r="L17" s="1"/>
  <c r="H16"/>
  <c r="L16" s="1"/>
  <c r="H15"/>
  <c r="L15" s="1"/>
  <c r="H14"/>
  <c r="L14" s="1"/>
  <c r="H13"/>
  <c r="L13" s="1"/>
  <c r="H12"/>
  <c r="L12" s="1"/>
  <c r="H11"/>
  <c r="L11" s="1"/>
  <c r="H10"/>
  <c r="L10" s="1"/>
  <c r="H9"/>
  <c r="L9" s="1"/>
  <c r="H8"/>
  <c r="L8" s="1"/>
  <c r="M164"/>
  <c r="G153"/>
  <c r="M155" s="1"/>
  <c r="G52"/>
  <c r="G32"/>
  <c r="F162"/>
  <c r="F153"/>
  <c r="F91"/>
  <c r="F79"/>
  <c r="F52"/>
  <c r="C211" i="2"/>
  <c r="S161" i="37" s="1"/>
  <c r="L96" i="21" l="1"/>
  <c r="H91"/>
  <c r="M91" s="1"/>
  <c r="L24"/>
  <c r="H6"/>
  <c r="G5"/>
  <c r="O5" s="1"/>
  <c r="O8" s="1"/>
  <c r="L121"/>
  <c r="H120"/>
  <c r="M122" s="1"/>
  <c r="C215" i="2"/>
  <c r="C217" s="1"/>
  <c r="H162" i="21"/>
  <c r="L80"/>
  <c r="H79"/>
  <c r="H153"/>
  <c r="L154"/>
  <c r="H32"/>
  <c r="AU344" i="4" s="1"/>
  <c r="G5" i="22"/>
  <c r="M5" s="1"/>
  <c r="H52" i="21"/>
  <c r="AU347" i="4" s="1"/>
  <c r="F5" i="21"/>
  <c r="M3" s="1"/>
  <c r="H35" i="14"/>
  <c r="Q35" s="1"/>
  <c r="H34"/>
  <c r="Q34" s="1"/>
  <c r="H33"/>
  <c r="Q33" s="1"/>
  <c r="H32"/>
  <c r="Q32" s="1"/>
  <c r="H31"/>
  <c r="Q31" s="1"/>
  <c r="H29"/>
  <c r="Q29" s="1"/>
  <c r="H44"/>
  <c r="Q44" s="1"/>
  <c r="H43"/>
  <c r="Q43" s="1"/>
  <c r="H40"/>
  <c r="Q40" s="1"/>
  <c r="H39"/>
  <c r="Q39" s="1"/>
  <c r="H42"/>
  <c r="Q42" s="1"/>
  <c r="H41"/>
  <c r="Q41" s="1"/>
  <c r="H38"/>
  <c r="Q38" s="1"/>
  <c r="H37"/>
  <c r="Q37" s="1"/>
  <c r="H50"/>
  <c r="Q50" s="1"/>
  <c r="H49"/>
  <c r="Q49" s="1"/>
  <c r="K21" i="3"/>
  <c r="P21" s="1"/>
  <c r="K17"/>
  <c r="P17" s="1"/>
  <c r="M79" i="21" l="1"/>
  <c r="M89" s="1"/>
  <c r="N89" s="1"/>
  <c r="AU350" i="4"/>
  <c r="L164" i="21"/>
  <c r="AC41" i="14"/>
  <c r="AC43"/>
  <c r="AC31"/>
  <c r="AC35"/>
  <c r="AC7"/>
  <c r="AC50"/>
  <c r="AC42"/>
  <c r="AC44"/>
  <c r="AC32"/>
  <c r="AC48"/>
  <c r="AC37"/>
  <c r="AC39"/>
  <c r="AC28"/>
  <c r="AC33"/>
  <c r="AC19"/>
  <c r="AC49"/>
  <c r="AC38"/>
  <c r="AC40"/>
  <c r="AC29"/>
  <c r="AC34"/>
  <c r="W15" i="3"/>
  <c r="H5" i="21"/>
  <c r="N3" l="1"/>
  <c r="M6"/>
  <c r="Z15" i="3"/>
  <c r="U15"/>
  <c r="K33"/>
  <c r="L5" i="21"/>
  <c r="N5"/>
  <c r="X15" i="3"/>
  <c r="E22" i="16"/>
  <c r="Z33" i="3" l="1"/>
  <c r="W33"/>
  <c r="U33"/>
  <c r="H36" i="14"/>
  <c r="Q36" s="1"/>
  <c r="K14" i="3"/>
  <c r="P14" s="1"/>
  <c r="H6" i="14" l="1"/>
  <c r="Q6" s="1"/>
  <c r="X6"/>
  <c r="AC45"/>
  <c r="AC36"/>
  <c r="U14" i="3" l="1"/>
  <c r="W14"/>
  <c r="Z14"/>
  <c r="K31"/>
  <c r="K13"/>
  <c r="W31" l="1"/>
  <c r="P31"/>
  <c r="P13"/>
  <c r="Z13"/>
  <c r="U13"/>
  <c r="W13"/>
  <c r="Z31"/>
  <c r="U31"/>
  <c r="K38"/>
  <c r="I27"/>
  <c r="I6" s="1"/>
  <c r="X13"/>
  <c r="K28"/>
  <c r="P28" s="1"/>
  <c r="K30"/>
  <c r="X31"/>
  <c r="W20"/>
  <c r="I41"/>
  <c r="X39"/>
  <c r="X34"/>
  <c r="X32"/>
  <c r="W26"/>
  <c r="W24"/>
  <c r="W23"/>
  <c r="W22"/>
  <c r="W18"/>
  <c r="U38" l="1"/>
  <c r="U30"/>
  <c r="P30"/>
  <c r="I45"/>
  <c r="I47" s="1"/>
  <c r="W30"/>
  <c r="W16"/>
  <c r="W28"/>
  <c r="V41"/>
  <c r="U17"/>
  <c r="W17"/>
  <c r="U21"/>
  <c r="W21"/>
  <c r="W38"/>
  <c r="U16"/>
  <c r="I22" i="16"/>
  <c r="Z38" i="3"/>
  <c r="U26"/>
  <c r="U23"/>
  <c r="Z20"/>
  <c r="U20"/>
  <c r="U22"/>
  <c r="U18"/>
  <c r="U24"/>
  <c r="X38"/>
  <c r="U28"/>
  <c r="K42"/>
  <c r="Z17"/>
  <c r="Z21"/>
  <c r="Z30"/>
  <c r="Z28"/>
  <c r="X16"/>
  <c r="Z16"/>
  <c r="X22"/>
  <c r="Z22"/>
  <c r="X23"/>
  <c r="Z23"/>
  <c r="X18"/>
  <c r="Z18"/>
  <c r="X24"/>
  <c r="Z24"/>
  <c r="X26"/>
  <c r="Z26"/>
  <c r="X20"/>
  <c r="X29"/>
  <c r="E24" i="16"/>
  <c r="X17" i="3"/>
  <c r="E27" i="16"/>
  <c r="K19" i="3"/>
  <c r="P19" s="1"/>
  <c r="K41" l="1"/>
  <c r="W41" s="1"/>
  <c r="P42"/>
  <c r="W42"/>
  <c r="U42"/>
  <c r="H12"/>
  <c r="Y41"/>
  <c r="E34" i="16"/>
  <c r="E35" s="1"/>
  <c r="U41" i="3" l="1"/>
  <c r="P41"/>
  <c r="U19"/>
  <c r="H27"/>
  <c r="W19"/>
  <c r="Z19"/>
  <c r="I870"/>
  <c r="X19"/>
  <c r="K35"/>
  <c r="AT280" i="4"/>
  <c r="AT126"/>
  <c r="BC109"/>
  <c r="AT135" l="1"/>
  <c r="U35" i="3"/>
  <c r="T27"/>
  <c r="W35"/>
  <c r="AV135" i="4"/>
  <c r="AW135" s="1"/>
  <c r="K27" i="3"/>
  <c r="AV126" i="4"/>
  <c r="AW126" s="1"/>
  <c r="Z35" i="3"/>
  <c r="AT104" i="4"/>
  <c r="X35" i="3"/>
  <c r="BC106" i="4"/>
  <c r="BC126"/>
  <c r="BC136"/>
  <c r="BD136" s="1"/>
  <c r="BG135"/>
  <c r="BG143"/>
  <c r="BC95"/>
  <c r="BC113"/>
  <c r="BG115"/>
  <c r="BG102" s="1"/>
  <c r="BH47"/>
  <c r="BC120"/>
  <c r="E23" i="16"/>
  <c r="BH50" i="4"/>
  <c r="W13"/>
  <c r="AC13" l="1"/>
  <c r="AD13"/>
  <c r="AE13"/>
  <c r="X13"/>
  <c r="AJ13"/>
  <c r="AI13"/>
  <c r="AR13"/>
  <c r="W9"/>
  <c r="AT13"/>
  <c r="AT131"/>
  <c r="W27" i="3"/>
  <c r="V547" i="4"/>
  <c r="X27" i="3"/>
  <c r="U27"/>
  <c r="AV104" i="4"/>
  <c r="AW104" s="1"/>
  <c r="AV13"/>
  <c r="AW13" s="1"/>
  <c r="AV131"/>
  <c r="AW131" s="1"/>
  <c r="AW130"/>
  <c r="W19"/>
  <c r="BC37"/>
  <c r="BC55"/>
  <c r="BE55"/>
  <c r="BE47"/>
  <c r="BG54"/>
  <c r="BG128"/>
  <c r="BG26"/>
  <c r="BC105"/>
  <c r="BC34"/>
  <c r="K11" i="3"/>
  <c r="BC115" i="4"/>
  <c r="BC131"/>
  <c r="BD131" s="1"/>
  <c r="AC19" l="1"/>
  <c r="AC9"/>
  <c r="AD19"/>
  <c r="AE19"/>
  <c r="AD9"/>
  <c r="AE9"/>
  <c r="AI19"/>
  <c r="X19"/>
  <c r="AJ19"/>
  <c r="X9"/>
  <c r="AJ9"/>
  <c r="AI9"/>
  <c r="AR9"/>
  <c r="W8"/>
  <c r="AT19"/>
  <c r="AR19"/>
  <c r="AT130"/>
  <c r="AT9"/>
  <c r="AV9"/>
  <c r="AW9" s="1"/>
  <c r="AV19"/>
  <c r="AW19" s="1"/>
  <c r="AW128"/>
  <c r="H10" i="3"/>
  <c r="U11"/>
  <c r="BC54" i="4"/>
  <c r="BE54"/>
  <c r="AW102"/>
  <c r="BH54"/>
  <c r="BC341"/>
  <c r="BG340"/>
  <c r="BG339" s="1"/>
  <c r="BG19"/>
  <c r="BG6" s="1"/>
  <c r="BC104"/>
  <c r="D6" i="2"/>
  <c r="AC8" i="4" l="1"/>
  <c r="AD8"/>
  <c r="AE8"/>
  <c r="W6"/>
  <c r="X8"/>
  <c r="AJ8"/>
  <c r="AR8"/>
  <c r="AI8"/>
  <c r="AT128"/>
  <c r="AT102"/>
  <c r="AT8"/>
  <c r="W11" i="3"/>
  <c r="X11"/>
  <c r="AV8" i="4"/>
  <c r="AW8" s="1"/>
  <c r="K10" i="3"/>
  <c r="Z11"/>
  <c r="BC438" i="4"/>
  <c r="BC478"/>
  <c r="AC6" l="1"/>
  <c r="AD6"/>
  <c r="AE6"/>
  <c r="AI6"/>
  <c r="X6"/>
  <c r="AJ6"/>
  <c r="W10" i="3"/>
  <c r="U10"/>
  <c r="X10"/>
  <c r="BC437" i="4"/>
  <c r="AT379"/>
  <c r="AC530" l="1"/>
  <c r="AF535"/>
  <c r="AD530"/>
  <c r="AE530"/>
  <c r="X530"/>
  <c r="AJ530"/>
  <c r="AI530"/>
  <c r="AV379"/>
  <c r="AW379" s="1"/>
  <c r="AT378"/>
  <c r="BC379"/>
  <c r="E38" i="10"/>
  <c r="E49" s="1"/>
  <c r="AV378" i="4" l="1"/>
  <c r="AW378" s="1"/>
  <c r="E51" i="10"/>
  <c r="H49"/>
  <c r="T38"/>
  <c r="E6"/>
  <c r="AT376" i="4"/>
  <c r="H51" i="10" l="1"/>
  <c r="E53"/>
  <c r="AV376" i="4"/>
  <c r="AW376" s="1"/>
  <c r="BG223"/>
  <c r="BG210" s="1"/>
  <c r="BD252"/>
  <c r="BD213"/>
  <c r="BG262"/>
  <c r="BD268"/>
  <c r="H53" i="10" l="1"/>
  <c r="W25" i="3"/>
  <c r="T12"/>
  <c r="K12"/>
  <c r="U25"/>
  <c r="Z25"/>
  <c r="AW210" i="4"/>
  <c r="BD251"/>
  <c r="BD262"/>
  <c r="BE50"/>
  <c r="W12" i="3" l="1"/>
  <c r="I21" i="16"/>
  <c r="BC81" i="4"/>
  <c r="BG91"/>
  <c r="BG78" s="1"/>
  <c r="AT210"/>
  <c r="K9" i="3"/>
  <c r="BC96" i="4"/>
  <c r="W9" i="3" l="1"/>
  <c r="BC91" i="4"/>
  <c r="BC46"/>
  <c r="BE46"/>
  <c r="K8" i="3"/>
  <c r="W76" i="4"/>
  <c r="Y209" i="2"/>
  <c r="Y208"/>
  <c r="Y199"/>
  <c r="Y193"/>
  <c r="Y190"/>
  <c r="Y182"/>
  <c r="AB152"/>
  <c r="X113"/>
  <c r="Y113" s="1"/>
  <c r="F111"/>
  <c r="K111" s="1"/>
  <c r="F110"/>
  <c r="K110" s="1"/>
  <c r="F109"/>
  <c r="K109" s="1"/>
  <c r="F108"/>
  <c r="K108" s="1"/>
  <c r="F107"/>
  <c r="K107" s="1"/>
  <c r="X106"/>
  <c r="Y106" s="1"/>
  <c r="X105"/>
  <c r="Y105" s="1"/>
  <c r="X97"/>
  <c r="Y97" s="1"/>
  <c r="X96"/>
  <c r="Y96" s="1"/>
  <c r="X87"/>
  <c r="Y87" s="1"/>
  <c r="X86"/>
  <c r="Y86" s="1"/>
  <c r="X78"/>
  <c r="Y78" s="1"/>
  <c r="X77"/>
  <c r="Y77" s="1"/>
  <c r="X69"/>
  <c r="Y69" s="1"/>
  <c r="X68"/>
  <c r="Y68" s="1"/>
  <c r="X61"/>
  <c r="Y61" s="1"/>
  <c r="X60"/>
  <c r="Y60" s="1"/>
  <c r="X53"/>
  <c r="Y53" s="1"/>
  <c r="X52"/>
  <c r="Y52" s="1"/>
  <c r="X42"/>
  <c r="Y42" s="1"/>
  <c r="D41"/>
  <c r="F40"/>
  <c r="K40" s="1"/>
  <c r="X39"/>
  <c r="Y39" s="1"/>
  <c r="E37"/>
  <c r="F36"/>
  <c r="K36" s="1"/>
  <c r="F35"/>
  <c r="K35" s="1"/>
  <c r="F34"/>
  <c r="K34" s="1"/>
  <c r="F33"/>
  <c r="K33" s="1"/>
  <c r="F31"/>
  <c r="K31" s="1"/>
  <c r="F30"/>
  <c r="K30" s="1"/>
  <c r="F29"/>
  <c r="K29" s="1"/>
  <c r="F28"/>
  <c r="K28" s="1"/>
  <c r="F27"/>
  <c r="K27" s="1"/>
  <c r="F25"/>
  <c r="K25" s="1"/>
  <c r="F24"/>
  <c r="K24" s="1"/>
  <c r="F23"/>
  <c r="K23" s="1"/>
  <c r="F22"/>
  <c r="K22" s="1"/>
  <c r="F21"/>
  <c r="K21" s="1"/>
  <c r="F20"/>
  <c r="K20" s="1"/>
  <c r="F19"/>
  <c r="K19" s="1"/>
  <c r="F18"/>
  <c r="K18" s="1"/>
  <c r="F16"/>
  <c r="K16" s="1"/>
  <c r="F15"/>
  <c r="K15" s="1"/>
  <c r="F14"/>
  <c r="K14" s="1"/>
  <c r="F13"/>
  <c r="K13" s="1"/>
  <c r="F12"/>
  <c r="K12" s="1"/>
  <c r="F11"/>
  <c r="K11" s="1"/>
  <c r="F10"/>
  <c r="K10" s="1"/>
  <c r="F9"/>
  <c r="K9" s="1"/>
  <c r="AC76" i="4" l="1"/>
  <c r="AD76"/>
  <c r="AE76"/>
  <c r="AI76"/>
  <c r="AJ76"/>
  <c r="X76"/>
  <c r="AQ76"/>
  <c r="AS43"/>
  <c r="AR76"/>
  <c r="AT77"/>
  <c r="AT375"/>
  <c r="AS374"/>
  <c r="AS303" s="1"/>
  <c r="AS532" s="1"/>
  <c r="W41" i="2"/>
  <c r="S41"/>
  <c r="S111"/>
  <c r="S10"/>
  <c r="W14"/>
  <c r="S14"/>
  <c r="S19"/>
  <c r="S23"/>
  <c r="S28"/>
  <c r="S33"/>
  <c r="S108"/>
  <c r="S13"/>
  <c r="S22"/>
  <c r="S36"/>
  <c r="S11"/>
  <c r="S15"/>
  <c r="S20"/>
  <c r="S24"/>
  <c r="S29"/>
  <c r="S34"/>
  <c r="S109"/>
  <c r="S9"/>
  <c r="S18"/>
  <c r="S27"/>
  <c r="S31"/>
  <c r="S107"/>
  <c r="S12"/>
  <c r="S16"/>
  <c r="S21"/>
  <c r="S25"/>
  <c r="S30"/>
  <c r="S35"/>
  <c r="S40"/>
  <c r="S110"/>
  <c r="AU43" i="4"/>
  <c r="AU374"/>
  <c r="AU303" s="1"/>
  <c r="U9" i="3"/>
  <c r="X9" i="2"/>
  <c r="Y9" s="1"/>
  <c r="W9"/>
  <c r="X18"/>
  <c r="Y18" s="1"/>
  <c r="W18"/>
  <c r="X27"/>
  <c r="Y27" s="1"/>
  <c r="W27"/>
  <c r="X108"/>
  <c r="Y108" s="1"/>
  <c r="W108"/>
  <c r="X107"/>
  <c r="Y107" s="1"/>
  <c r="W107"/>
  <c r="X23"/>
  <c r="Y23" s="1"/>
  <c r="W23"/>
  <c r="X20"/>
  <c r="Y20" s="1"/>
  <c r="W20"/>
  <c r="X34"/>
  <c r="Y34" s="1"/>
  <c r="W34"/>
  <c r="X109"/>
  <c r="Y109" s="1"/>
  <c r="W109"/>
  <c r="X13"/>
  <c r="Y13" s="1"/>
  <c r="W13"/>
  <c r="X22"/>
  <c r="Y22" s="1"/>
  <c r="W22"/>
  <c r="X31"/>
  <c r="Y31" s="1"/>
  <c r="W31"/>
  <c r="X36"/>
  <c r="Y36" s="1"/>
  <c r="W36"/>
  <c r="L39" s="1"/>
  <c r="X111"/>
  <c r="Y111" s="1"/>
  <c r="W111"/>
  <c r="X10"/>
  <c r="Y10" s="1"/>
  <c r="W10"/>
  <c r="X19"/>
  <c r="Y19" s="1"/>
  <c r="W19"/>
  <c r="X28"/>
  <c r="Y28" s="1"/>
  <c r="W28"/>
  <c r="X33"/>
  <c r="Y33" s="1"/>
  <c r="W33"/>
  <c r="X11"/>
  <c r="Y11" s="1"/>
  <c r="W11"/>
  <c r="X15"/>
  <c r="Y15" s="1"/>
  <c r="W15"/>
  <c r="X24"/>
  <c r="Y24" s="1"/>
  <c r="W24"/>
  <c r="X29"/>
  <c r="Y29" s="1"/>
  <c r="W29"/>
  <c r="X12"/>
  <c r="Y12" s="1"/>
  <c r="W12"/>
  <c r="X16"/>
  <c r="Y16" s="1"/>
  <c r="W16"/>
  <c r="X21"/>
  <c r="Y21" s="1"/>
  <c r="W21"/>
  <c r="X25"/>
  <c r="Y25" s="1"/>
  <c r="W25"/>
  <c r="X30"/>
  <c r="Y30" s="1"/>
  <c r="W30"/>
  <c r="X35"/>
  <c r="Y35" s="1"/>
  <c r="W35"/>
  <c r="X40"/>
  <c r="Y40" s="1"/>
  <c r="W40"/>
  <c r="X110"/>
  <c r="Y110" s="1"/>
  <c r="W110"/>
  <c r="AV77" i="4"/>
  <c r="AW77" s="1"/>
  <c r="AV375"/>
  <c r="AW375" s="1"/>
  <c r="Y179" i="2"/>
  <c r="AB14"/>
  <c r="X14"/>
  <c r="Y14" s="1"/>
  <c r="AB181"/>
  <c r="Y181"/>
  <c r="D37"/>
  <c r="F194"/>
  <c r="K194" s="1"/>
  <c r="F7"/>
  <c r="AT43" i="4"/>
  <c r="AT374"/>
  <c r="X9" i="3"/>
  <c r="Z9"/>
  <c r="H7"/>
  <c r="H6" s="1"/>
  <c r="BE75" i="4"/>
  <c r="BC375"/>
  <c r="BG374"/>
  <c r="BG303" s="1"/>
  <c r="BC77"/>
  <c r="BG77"/>
  <c r="BE77"/>
  <c r="BE71"/>
  <c r="BG60"/>
  <c r="BE74"/>
  <c r="BG72"/>
  <c r="BG300"/>
  <c r="BG249" s="1"/>
  <c r="BC287"/>
  <c r="BC9"/>
  <c r="BC302"/>
  <c r="F6" i="2"/>
  <c r="K6" s="1"/>
  <c r="Y41"/>
  <c r="S7" l="1"/>
  <c r="K7"/>
  <c r="W8" i="3"/>
  <c r="AW43" i="4"/>
  <c r="W194" i="2"/>
  <c r="S194"/>
  <c r="W6"/>
  <c r="S6"/>
  <c r="AU532" i="4"/>
  <c r="U8" i="3"/>
  <c r="X7" i="2"/>
  <c r="Y7" s="1"/>
  <c r="W7"/>
  <c r="AV374" i="4"/>
  <c r="AW374" s="1"/>
  <c r="D211" i="2"/>
  <c r="X194"/>
  <c r="Y194" s="1"/>
  <c r="Y177"/>
  <c r="Y6"/>
  <c r="K7" i="3"/>
  <c r="Z8"/>
  <c r="BE72" i="4"/>
  <c r="BC300"/>
  <c r="AR6"/>
  <c r="F37" i="2"/>
  <c r="BG56" i="4"/>
  <c r="BE60"/>
  <c r="BH72"/>
  <c r="BH60"/>
  <c r="BC374"/>
  <c r="AT303"/>
  <c r="BC8"/>
  <c r="AT249"/>
  <c r="BE56"/>
  <c r="K6" i="3" l="1"/>
  <c r="K45" s="1"/>
  <c r="F211" i="2"/>
  <c r="K211" s="1"/>
  <c r="K37"/>
  <c r="BG526" i="4"/>
  <c r="AW6"/>
  <c r="AT6"/>
  <c r="W7" i="3"/>
  <c r="U6"/>
  <c r="U547" i="4"/>
  <c r="U7" i="3"/>
  <c r="W37" i="2"/>
  <c r="S37"/>
  <c r="E20" i="16"/>
  <c r="E19" s="1"/>
  <c r="E31" s="1"/>
  <c r="I20"/>
  <c r="T161" i="37"/>
  <c r="T162" s="1"/>
  <c r="AV303" i="4"/>
  <c r="AW303" s="1"/>
  <c r="AW249"/>
  <c r="D215" i="2"/>
  <c r="BH249" i="4"/>
  <c r="BH303"/>
  <c r="BH6"/>
  <c r="BH56"/>
  <c r="BG43"/>
  <c r="BG530" s="1"/>
  <c r="BE45"/>
  <c r="W211" i="2" l="1"/>
  <c r="S211"/>
  <c r="X211"/>
  <c r="AT526" i="4"/>
  <c r="BC524"/>
  <c r="AV526"/>
  <c r="AW526" s="1"/>
  <c r="AT525"/>
  <c r="AS518"/>
  <c r="AU518"/>
  <c r="AV525"/>
  <c r="AW525" s="1"/>
  <c r="BG518"/>
  <c r="BC523"/>
  <c r="T547"/>
  <c r="AT530"/>
  <c r="V49" i="3"/>
  <c r="K47"/>
  <c r="W45"/>
  <c r="W6"/>
  <c r="E36" i="16"/>
  <c r="E37" s="1"/>
  <c r="E18"/>
  <c r="X45" i="3"/>
  <c r="U45"/>
  <c r="H47"/>
  <c r="AV530" i="4"/>
  <c r="AW530" s="1"/>
  <c r="Y211" i="2"/>
  <c r="F215"/>
  <c r="W215" l="1"/>
  <c r="K215"/>
  <c r="AT532" i="4"/>
  <c r="H870" i="3"/>
  <c r="W47"/>
  <c r="S215" i="2"/>
  <c r="S159" i="37"/>
  <c r="BE43" i="4"/>
  <c r="BH43"/>
  <c r="U47" i="3" l="1"/>
  <c r="K870"/>
  <c r="S160" i="37"/>
  <c r="S162" s="1"/>
  <c r="V159"/>
  <c r="BG531" i="4"/>
  <c r="BC529"/>
  <c r="BF531"/>
  <c r="D50" i="23" l="1"/>
  <c r="D8" l="1"/>
  <c r="D16" s="1"/>
  <c r="D110"/>
  <c r="D120" l="1"/>
  <c r="D86" i="24"/>
  <c r="D80"/>
  <c r="D70"/>
  <c r="D56"/>
  <c r="D43"/>
  <c r="D39"/>
  <c r="D19"/>
  <c r="D23" s="1"/>
  <c r="D12"/>
  <c r="D88" l="1"/>
  <c r="C50" i="23" l="1"/>
  <c r="K39" i="4" l="1"/>
  <c r="H37"/>
  <c r="K38"/>
  <c r="K37" s="1"/>
  <c r="BE39" l="1"/>
  <c r="BF39" s="1"/>
  <c r="BE38"/>
  <c r="BF38" s="1"/>
  <c r="U48" i="10"/>
  <c r="U47"/>
  <c r="U45"/>
  <c r="U42"/>
  <c r="U41"/>
  <c r="U40"/>
  <c r="U39"/>
  <c r="U37"/>
  <c r="U36"/>
  <c r="U35"/>
  <c r="U34"/>
  <c r="U33"/>
  <c r="U32"/>
  <c r="U30"/>
  <c r="U29"/>
  <c r="U27"/>
  <c r="U26"/>
  <c r="U24"/>
  <c r="U22"/>
  <c r="U21"/>
  <c r="U20"/>
  <c r="U19"/>
  <c r="U18"/>
  <c r="U17"/>
  <c r="U16"/>
  <c r="U15"/>
  <c r="U14"/>
  <c r="U13"/>
  <c r="U12"/>
  <c r="U11"/>
  <c r="U10"/>
  <c r="U9"/>
  <c r="U8"/>
  <c r="U69" i="9"/>
  <c r="U51"/>
  <c r="U13" l="1"/>
  <c r="U27"/>
  <c r="U35"/>
  <c r="U45"/>
  <c r="U57"/>
  <c r="U24"/>
  <c r="U32"/>
  <c r="U40"/>
  <c r="U61"/>
  <c r="U68"/>
  <c r="T17" i="11"/>
  <c r="U55" i="9"/>
  <c r="T18" i="11"/>
  <c r="U37" i="9"/>
  <c r="U11"/>
  <c r="U22"/>
  <c r="U30"/>
  <c r="U38"/>
  <c r="U48"/>
  <c r="U56"/>
  <c r="U43" i="10"/>
  <c r="U44"/>
  <c r="BE37" i="4"/>
  <c r="BF37" s="1"/>
  <c r="U38" i="10"/>
  <c r="U31"/>
  <c r="U46"/>
  <c r="T7" i="11" l="1"/>
  <c r="T10"/>
  <c r="T9"/>
  <c r="T15"/>
  <c r="T20"/>
  <c r="T12"/>
  <c r="U33" i="9"/>
  <c r="U50"/>
  <c r="T16" i="11"/>
  <c r="T8"/>
  <c r="U59" i="9"/>
  <c r="U49"/>
  <c r="U39"/>
  <c r="U31"/>
  <c r="U23"/>
  <c r="U16"/>
  <c r="U29"/>
  <c r="U10"/>
  <c r="U58"/>
  <c r="U54"/>
  <c r="U8"/>
  <c r="T19" i="11"/>
  <c r="T11"/>
  <c r="U52" i="9"/>
  <c r="U42"/>
  <c r="U34"/>
  <c r="U26"/>
  <c r="U15"/>
  <c r="U47"/>
  <c r="U25"/>
  <c r="U41"/>
  <c r="U21"/>
  <c r="T21" i="11"/>
  <c r="T13"/>
  <c r="U70" i="9"/>
  <c r="U46"/>
  <c r="U36"/>
  <c r="U28"/>
  <c r="U20"/>
  <c r="U9"/>
  <c r="U53"/>
  <c r="T14" i="11"/>
  <c r="U19" i="9"/>
  <c r="U12"/>
  <c r="U14"/>
  <c r="BE407" i="4"/>
  <c r="BF407" s="1"/>
  <c r="BE344"/>
  <c r="BF344" s="1"/>
  <c r="BE294"/>
  <c r="BF294" s="1"/>
  <c r="BE166"/>
  <c r="BF166" s="1"/>
  <c r="BE163"/>
  <c r="BF163" s="1"/>
  <c r="BE25" l="1"/>
  <c r="BE42"/>
  <c r="BE107"/>
  <c r="BE116"/>
  <c r="BE122"/>
  <c r="BE142"/>
  <c r="BE215"/>
  <c r="BE217"/>
  <c r="BE224"/>
  <c r="BE228"/>
  <c r="BE234"/>
  <c r="BE238"/>
  <c r="BE242"/>
  <c r="BE246"/>
  <c r="BE289"/>
  <c r="BE301"/>
  <c r="BE307"/>
  <c r="BE316"/>
  <c r="BE320"/>
  <c r="BE322"/>
  <c r="BE326"/>
  <c r="BE341"/>
  <c r="BE343"/>
  <c r="BE352"/>
  <c r="BE354"/>
  <c r="BE357"/>
  <c r="BE365"/>
  <c r="BE369"/>
  <c r="BE384"/>
  <c r="BE389"/>
  <c r="BE393"/>
  <c r="BE395"/>
  <c r="BE405"/>
  <c r="BE414"/>
  <c r="BE419"/>
  <c r="BE443"/>
  <c r="BE450"/>
  <c r="BE454"/>
  <c r="BE456"/>
  <c r="BE460"/>
  <c r="BE471"/>
  <c r="BE475"/>
  <c r="BE480"/>
  <c r="BE484"/>
  <c r="BE490"/>
  <c r="BE494"/>
  <c r="BF501"/>
  <c r="BE507"/>
  <c r="BE514"/>
  <c r="BE520"/>
  <c r="BE524"/>
  <c r="BE257"/>
  <c r="BE264"/>
  <c r="BE270"/>
  <c r="BE11"/>
  <c r="BE34"/>
  <c r="BE114"/>
  <c r="BE214"/>
  <c r="BE223"/>
  <c r="BE227"/>
  <c r="BE233"/>
  <c r="BE241"/>
  <c r="BE300"/>
  <c r="BE314"/>
  <c r="BE319"/>
  <c r="BE325"/>
  <c r="BE331"/>
  <c r="BE340"/>
  <c r="BE350"/>
  <c r="BE362"/>
  <c r="BE364"/>
  <c r="BE381"/>
  <c r="BE392"/>
  <c r="BE398"/>
  <c r="BE404"/>
  <c r="BE411"/>
  <c r="BE423"/>
  <c r="BE442"/>
  <c r="BE449"/>
  <c r="BE453"/>
  <c r="BE459"/>
  <c r="BE463"/>
  <c r="BE493"/>
  <c r="BE506"/>
  <c r="BE513"/>
  <c r="BE519"/>
  <c r="BE254"/>
  <c r="BE263"/>
  <c r="BE269"/>
  <c r="BE14"/>
  <c r="BE21"/>
  <c r="BE27"/>
  <c r="BE35"/>
  <c r="BE15"/>
  <c r="BE22"/>
  <c r="BE28"/>
  <c r="BE32"/>
  <c r="BE36"/>
  <c r="BE108"/>
  <c r="BE110"/>
  <c r="BE117"/>
  <c r="BE123"/>
  <c r="BE218"/>
  <c r="BE225"/>
  <c r="BE229"/>
  <c r="BE235"/>
  <c r="BE239"/>
  <c r="BE243"/>
  <c r="BE247"/>
  <c r="BE276"/>
  <c r="BE291"/>
  <c r="BE308"/>
  <c r="BE310"/>
  <c r="BE317"/>
  <c r="BE323"/>
  <c r="BE327"/>
  <c r="BE334"/>
  <c r="BE342"/>
  <c r="BE346"/>
  <c r="BE356"/>
  <c r="BE358"/>
  <c r="BE360"/>
  <c r="BE366"/>
  <c r="BE371"/>
  <c r="BE385"/>
  <c r="BE390"/>
  <c r="BE396"/>
  <c r="BE406"/>
  <c r="BE409"/>
  <c r="BE416"/>
  <c r="BE421"/>
  <c r="BE438"/>
  <c r="BE444"/>
  <c r="BE451"/>
  <c r="BE457"/>
  <c r="BE461"/>
  <c r="BE476"/>
  <c r="BE481"/>
  <c r="BE485"/>
  <c r="BE487"/>
  <c r="BE491"/>
  <c r="BF502"/>
  <c r="BE504"/>
  <c r="BE511"/>
  <c r="BE515"/>
  <c r="BE521"/>
  <c r="BE525"/>
  <c r="BE527"/>
  <c r="BE258"/>
  <c r="BE260"/>
  <c r="BE265"/>
  <c r="BE271"/>
  <c r="BE20"/>
  <c r="BE24"/>
  <c r="BE30"/>
  <c r="BE41"/>
  <c r="BE112"/>
  <c r="BE119"/>
  <c r="BE121"/>
  <c r="BE237"/>
  <c r="BE245"/>
  <c r="BE312"/>
  <c r="BE329"/>
  <c r="BE337"/>
  <c r="BE348"/>
  <c r="BE353"/>
  <c r="BE383"/>
  <c r="BE418"/>
  <c r="BE440"/>
  <c r="BE470"/>
  <c r="BE474"/>
  <c r="BE483"/>
  <c r="BE489"/>
  <c r="BE523"/>
  <c r="BE256"/>
  <c r="BE273"/>
  <c r="BE12"/>
  <c r="BE31"/>
  <c r="BE16"/>
  <c r="BE23"/>
  <c r="BE29"/>
  <c r="BE33"/>
  <c r="BE40"/>
  <c r="BE111"/>
  <c r="BE118"/>
  <c r="BE124"/>
  <c r="BE219"/>
  <c r="BE226"/>
  <c r="BE230"/>
  <c r="BE232"/>
  <c r="BE236"/>
  <c r="BE240"/>
  <c r="BE244"/>
  <c r="O38" i="3"/>
  <c r="BE277" i="4"/>
  <c r="BE280"/>
  <c r="BE293"/>
  <c r="BE311"/>
  <c r="BE318"/>
  <c r="BE324"/>
  <c r="BE328"/>
  <c r="BE336"/>
  <c r="BE345"/>
  <c r="BE347"/>
  <c r="BE349"/>
  <c r="BE359"/>
  <c r="BE361"/>
  <c r="BE363"/>
  <c r="BE372"/>
  <c r="BE380"/>
  <c r="BE391"/>
  <c r="BE397"/>
  <c r="BE403"/>
  <c r="BE410"/>
  <c r="BE417"/>
  <c r="BE422"/>
  <c r="BE439"/>
  <c r="BE448"/>
  <c r="BE452"/>
  <c r="BE458"/>
  <c r="BE462"/>
  <c r="BE473"/>
  <c r="BE482"/>
  <c r="BE488"/>
  <c r="BE492"/>
  <c r="BE505"/>
  <c r="BE512"/>
  <c r="BE516"/>
  <c r="BE518"/>
  <c r="BE522"/>
  <c r="BE528"/>
  <c r="BE253"/>
  <c r="BE262"/>
  <c r="BE266"/>
  <c r="BE268"/>
  <c r="BE272"/>
  <c r="BE432"/>
  <c r="BE426"/>
  <c r="BE427"/>
  <c r="BE433"/>
  <c r="BE430"/>
  <c r="U18" i="9"/>
  <c r="BE88" i="4"/>
  <c r="BE95"/>
  <c r="BE126"/>
  <c r="BF126" s="1"/>
  <c r="BE127"/>
  <c r="BF127" s="1"/>
  <c r="BE146"/>
  <c r="BE150"/>
  <c r="BE160"/>
  <c r="BE285"/>
  <c r="BE367"/>
  <c r="BF367" s="1"/>
  <c r="BE374"/>
  <c r="BF374" s="1"/>
  <c r="U7" i="9"/>
  <c r="BE83" i="4"/>
  <c r="BE92"/>
  <c r="BE98"/>
  <c r="BE134"/>
  <c r="BE136"/>
  <c r="BE140"/>
  <c r="BE147"/>
  <c r="BE151"/>
  <c r="BE157"/>
  <c r="BE161"/>
  <c r="BE168"/>
  <c r="BF168" s="1"/>
  <c r="BE282"/>
  <c r="BE368"/>
  <c r="BF368" s="1"/>
  <c r="BE465"/>
  <c r="BF465" s="1"/>
  <c r="BE478"/>
  <c r="BF478" s="1"/>
  <c r="BE18"/>
  <c r="BF18" s="1"/>
  <c r="BE84"/>
  <c r="BE86"/>
  <c r="BF86" s="1"/>
  <c r="BE93"/>
  <c r="BE100"/>
  <c r="BE137"/>
  <c r="BE144"/>
  <c r="BE148"/>
  <c r="BE152"/>
  <c r="BE154"/>
  <c r="BE158"/>
  <c r="BE165"/>
  <c r="BF165" s="1"/>
  <c r="BE283"/>
  <c r="BE496"/>
  <c r="BF496" s="1"/>
  <c r="BE509"/>
  <c r="BF509" s="1"/>
  <c r="BE90"/>
  <c r="BE97"/>
  <c r="BE125"/>
  <c r="BE133"/>
  <c r="BE139"/>
  <c r="BE156"/>
  <c r="BE167"/>
  <c r="BE281"/>
  <c r="BE87"/>
  <c r="BE94"/>
  <c r="BE101"/>
  <c r="BE138"/>
  <c r="BE145"/>
  <c r="BE149"/>
  <c r="BE155"/>
  <c r="BF155" s="1"/>
  <c r="BE159"/>
  <c r="BE221"/>
  <c r="BE284"/>
  <c r="BE387"/>
  <c r="BF387" s="1"/>
  <c r="BE429"/>
  <c r="BF429" s="1"/>
  <c r="BE446"/>
  <c r="BF446" s="1"/>
  <c r="U67" i="9"/>
  <c r="T6" i="11"/>
  <c r="F35" i="16"/>
  <c r="BF503" i="4"/>
  <c r="P38" i="3" l="1"/>
  <c r="G27" i="16"/>
  <c r="O35" i="3"/>
  <c r="P35" s="1"/>
  <c r="O33"/>
  <c r="P33" s="1"/>
  <c r="BF494" i="4"/>
  <c r="BF475"/>
  <c r="BF460"/>
  <c r="BF454"/>
  <c r="BF443"/>
  <c r="BF414"/>
  <c r="BF395"/>
  <c r="BF389"/>
  <c r="BF357"/>
  <c r="BF352"/>
  <c r="BF341"/>
  <c r="BF326"/>
  <c r="BF320"/>
  <c r="BF246"/>
  <c r="BF42"/>
  <c r="BF492"/>
  <c r="BF462"/>
  <c r="BF452"/>
  <c r="BF439"/>
  <c r="BF417"/>
  <c r="BF403"/>
  <c r="BF391"/>
  <c r="BF361"/>
  <c r="BF349"/>
  <c r="BF345"/>
  <c r="BF328"/>
  <c r="BF293"/>
  <c r="BF277"/>
  <c r="BF23"/>
  <c r="BF31"/>
  <c r="BF483"/>
  <c r="BF470"/>
  <c r="BF418"/>
  <c r="BF353"/>
  <c r="BF337"/>
  <c r="BF30"/>
  <c r="BF491"/>
  <c r="BF485"/>
  <c r="BF476"/>
  <c r="BF457"/>
  <c r="BF444"/>
  <c r="BF421"/>
  <c r="BF409"/>
  <c r="BF396"/>
  <c r="BF385"/>
  <c r="BF358"/>
  <c r="BF346"/>
  <c r="BF334"/>
  <c r="BF323"/>
  <c r="BF310"/>
  <c r="BF291"/>
  <c r="BF108"/>
  <c r="BF493"/>
  <c r="BF459"/>
  <c r="BF449"/>
  <c r="BF404"/>
  <c r="BF392"/>
  <c r="BF364"/>
  <c r="BF350"/>
  <c r="BF331"/>
  <c r="BF319"/>
  <c r="BF247"/>
  <c r="BF372"/>
  <c r="BF423"/>
  <c r="BF528"/>
  <c r="BF318"/>
  <c r="BF312"/>
  <c r="BF307"/>
  <c r="BF366"/>
  <c r="BF369"/>
  <c r="BE306"/>
  <c r="BE382"/>
  <c r="BE252"/>
  <c r="BE299"/>
  <c r="BE106"/>
  <c r="BE153"/>
  <c r="BE425"/>
  <c r="BE96"/>
  <c r="BE445"/>
  <c r="BE386"/>
  <c r="BE464"/>
  <c r="BE109"/>
  <c r="BE255"/>
  <c r="BE508"/>
  <c r="BE373"/>
  <c r="BE259"/>
  <c r="BE500"/>
  <c r="BE428"/>
  <c r="BE477"/>
  <c r="BE309"/>
  <c r="BE472"/>
  <c r="BE330"/>
  <c r="BE213"/>
  <c r="BE13"/>
  <c r="BE313"/>
  <c r="BE216"/>
  <c r="BE82"/>
  <c r="BE113"/>
  <c r="BE10"/>
  <c r="BE379"/>
  <c r="BE469"/>
  <c r="BE220"/>
  <c r="BE495"/>
  <c r="BE17"/>
  <c r="BF488"/>
  <c r="BF473"/>
  <c r="BF458"/>
  <c r="BF448"/>
  <c r="BF422"/>
  <c r="BF410"/>
  <c r="BF397"/>
  <c r="BF380"/>
  <c r="BF363"/>
  <c r="BF359"/>
  <c r="BF347"/>
  <c r="BF336"/>
  <c r="BF324"/>
  <c r="BF311"/>
  <c r="BF40"/>
  <c r="BF16"/>
  <c r="BF489"/>
  <c r="BF474"/>
  <c r="BF440"/>
  <c r="BF383"/>
  <c r="BF348"/>
  <c r="BF329"/>
  <c r="BF245"/>
  <c r="BF487"/>
  <c r="BF461"/>
  <c r="BF451"/>
  <c r="BF438"/>
  <c r="BF416"/>
  <c r="BF406"/>
  <c r="BF390"/>
  <c r="BF371"/>
  <c r="BF360"/>
  <c r="BF356"/>
  <c r="BF342"/>
  <c r="BF327"/>
  <c r="BF317"/>
  <c r="BF308"/>
  <c r="BF276"/>
  <c r="BF28"/>
  <c r="BF15"/>
  <c r="BF14"/>
  <c r="BF463"/>
  <c r="BF453"/>
  <c r="BF442"/>
  <c r="BF411"/>
  <c r="BF398"/>
  <c r="BF381"/>
  <c r="BF362"/>
  <c r="BF340"/>
  <c r="BF325"/>
  <c r="BF314"/>
  <c r="BF490"/>
  <c r="BF471"/>
  <c r="BF456"/>
  <c r="BF450"/>
  <c r="BF419"/>
  <c r="BF405"/>
  <c r="BF393"/>
  <c r="BF384"/>
  <c r="BF365"/>
  <c r="BF354"/>
  <c r="BF343"/>
  <c r="BF322"/>
  <c r="BF316"/>
  <c r="BF301"/>
  <c r="BF289"/>
  <c r="BF107"/>
  <c r="BF433"/>
  <c r="BF426"/>
  <c r="BF430"/>
  <c r="BF427"/>
  <c r="BF432"/>
  <c r="BF285"/>
  <c r="BF284"/>
  <c r="BF281"/>
  <c r="BF283"/>
  <c r="U17" i="9"/>
  <c r="BE321" i="4"/>
  <c r="BF321" s="1"/>
  <c r="BE132"/>
  <c r="BE441"/>
  <c r="BF441" s="1"/>
  <c r="BE267"/>
  <c r="BE394"/>
  <c r="BF394" s="1"/>
  <c r="BE120"/>
  <c r="BE89"/>
  <c r="BE287"/>
  <c r="BF287" s="1"/>
  <c r="BE85"/>
  <c r="BF85" s="1"/>
  <c r="BE231"/>
  <c r="BE141"/>
  <c r="BE339"/>
  <c r="BF339" s="1"/>
  <c r="BE162"/>
  <c r="BF162" s="1"/>
  <c r="BE486"/>
  <c r="BF486" s="1"/>
  <c r="BE26"/>
  <c r="BF26" s="1"/>
  <c r="BE455"/>
  <c r="BF455" s="1"/>
  <c r="BE135"/>
  <c r="BF282"/>
  <c r="F37" i="16" l="1"/>
  <c r="F39" s="1"/>
  <c r="O27" i="3"/>
  <c r="G23" i="16" s="1"/>
  <c r="O12" i="3"/>
  <c r="G21" i="16" s="1"/>
  <c r="O11" i="3"/>
  <c r="T11" s="1"/>
  <c r="L12"/>
  <c r="BF495" i="4"/>
  <c r="BF330"/>
  <c r="BF464"/>
  <c r="BF469"/>
  <c r="BF13"/>
  <c r="BF373"/>
  <c r="BF445"/>
  <c r="BF425"/>
  <c r="BF106"/>
  <c r="BF306"/>
  <c r="BF428"/>
  <c r="BF309"/>
  <c r="BE447"/>
  <c r="BE479"/>
  <c r="BE338"/>
  <c r="BE261"/>
  <c r="BE222"/>
  <c r="BE286"/>
  <c r="BE388"/>
  <c r="BE19"/>
  <c r="BE510"/>
  <c r="BE437"/>
  <c r="BE315"/>
  <c r="BE131"/>
  <c r="BE378"/>
  <c r="BE115"/>
  <c r="BF17"/>
  <c r="BF379"/>
  <c r="BF313"/>
  <c r="BF472"/>
  <c r="BF477"/>
  <c r="BF500"/>
  <c r="BF508"/>
  <c r="BF109"/>
  <c r="BF386"/>
  <c r="BF299"/>
  <c r="BF382"/>
  <c r="U6" i="9"/>
  <c r="BE499" i="4"/>
  <c r="BF499" s="1"/>
  <c r="BE91"/>
  <c r="BE251"/>
  <c r="BE81"/>
  <c r="BE143"/>
  <c r="BE305"/>
  <c r="BF305" s="1"/>
  <c r="BE8"/>
  <c r="BE9"/>
  <c r="BE105"/>
  <c r="BF105" s="1"/>
  <c r="BE468"/>
  <c r="BF468" s="1"/>
  <c r="P12" i="3" l="1"/>
  <c r="O10"/>
  <c r="P11"/>
  <c r="P27"/>
  <c r="L10"/>
  <c r="O9"/>
  <c r="BE436" i="4"/>
  <c r="BF436" s="1"/>
  <c r="BF378"/>
  <c r="BE434"/>
  <c r="BF315"/>
  <c r="BF388"/>
  <c r="BF447"/>
  <c r="BF338"/>
  <c r="BE466"/>
  <c r="BE377"/>
  <c r="BE497"/>
  <c r="BF437"/>
  <c r="BF19"/>
  <c r="BF286"/>
  <c r="BF479"/>
  <c r="BF43"/>
  <c r="BE80"/>
  <c r="BF80" s="1"/>
  <c r="BE130"/>
  <c r="BF130" s="1"/>
  <c r="BE169"/>
  <c r="BE250"/>
  <c r="BF8"/>
  <c r="BE104"/>
  <c r="BF104" s="1"/>
  <c r="AU305"/>
  <c r="BE304"/>
  <c r="BF304" s="1"/>
  <c r="AB171" i="2"/>
  <c r="P9" i="3" l="1"/>
  <c r="T9"/>
  <c r="P10"/>
  <c r="T10"/>
  <c r="AB19" i="2"/>
  <c r="AB30"/>
  <c r="AB46"/>
  <c r="AB53"/>
  <c r="AB61"/>
  <c r="AB88"/>
  <c r="AB105"/>
  <c r="AB134"/>
  <c r="AB146"/>
  <c r="AB155"/>
  <c r="AB115"/>
  <c r="AB179"/>
  <c r="AB195"/>
  <c r="AB207"/>
  <c r="AB11"/>
  <c r="AB20"/>
  <c r="AB24"/>
  <c r="AB27"/>
  <c r="AB31"/>
  <c r="AB43"/>
  <c r="AB47"/>
  <c r="AB52"/>
  <c r="AB54"/>
  <c r="AB58"/>
  <c r="AB62"/>
  <c r="AB66"/>
  <c r="AB69"/>
  <c r="AB73"/>
  <c r="AB81"/>
  <c r="AB86"/>
  <c r="AB89"/>
  <c r="AB93"/>
  <c r="AB97"/>
  <c r="AB101"/>
  <c r="AB128"/>
  <c r="AB135"/>
  <c r="AB139"/>
  <c r="AB143"/>
  <c r="AB149"/>
  <c r="AB156"/>
  <c r="AB160"/>
  <c r="AB162"/>
  <c r="AB165"/>
  <c r="AB169"/>
  <c r="AB172"/>
  <c r="AB113"/>
  <c r="AB116"/>
  <c r="AB120"/>
  <c r="AB180"/>
  <c r="AB185"/>
  <c r="AB190"/>
  <c r="AB196"/>
  <c r="AB200"/>
  <c r="AB204"/>
  <c r="AB208"/>
  <c r="AB10"/>
  <c r="AB23"/>
  <c r="AB40"/>
  <c r="AB50"/>
  <c r="AB65"/>
  <c r="AB72"/>
  <c r="AB80"/>
  <c r="AB92"/>
  <c r="AB131"/>
  <c r="AB138"/>
  <c r="AB148"/>
  <c r="AB153"/>
  <c r="AB164"/>
  <c r="AB123"/>
  <c r="AB184"/>
  <c r="AB193"/>
  <c r="AB203"/>
  <c r="AB12"/>
  <c r="AB15"/>
  <c r="AB21"/>
  <c r="AB25"/>
  <c r="AB28"/>
  <c r="AB32"/>
  <c r="AB44"/>
  <c r="AB48"/>
  <c r="AB55"/>
  <c r="AB60"/>
  <c r="AB63"/>
  <c r="AB67"/>
  <c r="AB70"/>
  <c r="AB74"/>
  <c r="AB78"/>
  <c r="AB82"/>
  <c r="AB90"/>
  <c r="AB94"/>
  <c r="AB98"/>
  <c r="AB102"/>
  <c r="AB106"/>
  <c r="AB129"/>
  <c r="AB132"/>
  <c r="AB136"/>
  <c r="AB140"/>
  <c r="AB144"/>
  <c r="AB150"/>
  <c r="AB157"/>
  <c r="AB163"/>
  <c r="AB166"/>
  <c r="AB173"/>
  <c r="AB117"/>
  <c r="AB121"/>
  <c r="AB182"/>
  <c r="AB186"/>
  <c r="AB191"/>
  <c r="AB197"/>
  <c r="AB201"/>
  <c r="AB205"/>
  <c r="AB209"/>
  <c r="AB42"/>
  <c r="AB57"/>
  <c r="AB84"/>
  <c r="AB100"/>
  <c r="AB142"/>
  <c r="AB159"/>
  <c r="AB168"/>
  <c r="AB119"/>
  <c r="AB189"/>
  <c r="AB199"/>
  <c r="AB13"/>
  <c r="AB16"/>
  <c r="AB18"/>
  <c r="AB22"/>
  <c r="AB26"/>
  <c r="AB29"/>
  <c r="AB39"/>
  <c r="AB45"/>
  <c r="AB49"/>
  <c r="AB56"/>
  <c r="AB64"/>
  <c r="AB68"/>
  <c r="AB71"/>
  <c r="AB75"/>
  <c r="AB79"/>
  <c r="AB83"/>
  <c r="AB87"/>
  <c r="AB91"/>
  <c r="AB96"/>
  <c r="AB99"/>
  <c r="AB103"/>
  <c r="AB130"/>
  <c r="AB133"/>
  <c r="AB137"/>
  <c r="AB141"/>
  <c r="AB145"/>
  <c r="AB147"/>
  <c r="AB151"/>
  <c r="AB154"/>
  <c r="AB158"/>
  <c r="AB167"/>
  <c r="AB170"/>
  <c r="AB114"/>
  <c r="AB118"/>
  <c r="AB122"/>
  <c r="AB183"/>
  <c r="AB188"/>
  <c r="AB192"/>
  <c r="AB198"/>
  <c r="AB202"/>
  <c r="AB206"/>
  <c r="AB210"/>
  <c r="BF434" i="4"/>
  <c r="BF497"/>
  <c r="BF377"/>
  <c r="BE248"/>
  <c r="BE302"/>
  <c r="BE102"/>
  <c r="BE78"/>
  <c r="BF466"/>
  <c r="AB9" i="2"/>
  <c r="AB77"/>
  <c r="BE6" i="4"/>
  <c r="BE128"/>
  <c r="BF128" s="1"/>
  <c r="AB126" i="2"/>
  <c r="AB41" l="1"/>
  <c r="AB194"/>
  <c r="AB17"/>
  <c r="AB177"/>
  <c r="AB161"/>
  <c r="AB8"/>
  <c r="BF78" i="4"/>
  <c r="BF302"/>
  <c r="BF102"/>
  <c r="BF6"/>
  <c r="AB125" i="2"/>
  <c r="AB127"/>
  <c r="AB124" l="1"/>
  <c r="AB7"/>
  <c r="AB6" l="1"/>
  <c r="AB37"/>
  <c r="V153" i="21" l="1"/>
  <c r="U153"/>
  <c r="V6"/>
  <c r="U6"/>
  <c r="T52" l="1"/>
  <c r="T32"/>
  <c r="T5" l="1"/>
  <c r="T153" l="1"/>
  <c r="W153" s="1"/>
  <c r="V120"/>
  <c r="U120"/>
  <c r="T120"/>
  <c r="V91"/>
  <c r="T91"/>
  <c r="V79"/>
  <c r="T79"/>
  <c r="V52"/>
  <c r="U52"/>
  <c r="V32"/>
  <c r="T6"/>
  <c r="W6" s="1"/>
  <c r="W52" l="1"/>
  <c r="T96" l="1"/>
  <c r="C110" i="23"/>
  <c r="C8"/>
  <c r="C16" s="1"/>
  <c r="C120" l="1"/>
  <c r="U5" i="21"/>
  <c r="U91"/>
  <c r="U79"/>
  <c r="U32"/>
  <c r="W32" s="1"/>
  <c r="T162"/>
  <c r="T34" l="1"/>
  <c r="V5" l="1"/>
  <c r="AD894" i="3" l="1"/>
  <c r="AE894"/>
  <c r="AF894"/>
  <c r="X895"/>
  <c r="AG895"/>
  <c r="X896"/>
  <c r="AG896"/>
  <c r="AD897"/>
  <c r="AE897"/>
  <c r="AF897"/>
  <c r="X898"/>
  <c r="AG898"/>
  <c r="X899"/>
  <c r="AG899"/>
  <c r="AH900"/>
  <c r="AD903"/>
  <c r="AE903"/>
  <c r="AF903"/>
  <c r="X904"/>
  <c r="X903" s="1"/>
  <c r="AG904"/>
  <c r="X906"/>
  <c r="AG906"/>
  <c r="X907"/>
  <c r="AG907"/>
  <c r="X908"/>
  <c r="AG908"/>
  <c r="X909"/>
  <c r="AG909"/>
  <c r="X910"/>
  <c r="AG910"/>
  <c r="X911"/>
  <c r="AG911"/>
  <c r="AD912"/>
  <c r="AD905" s="1"/>
  <c r="AE912"/>
  <c r="AE905" s="1"/>
  <c r="AF912"/>
  <c r="AF905" s="1"/>
  <c r="X913"/>
  <c r="AG913"/>
  <c r="X914"/>
  <c r="AG914"/>
  <c r="AH915"/>
  <c r="X916"/>
  <c r="AG916"/>
  <c r="AG917"/>
  <c r="X918"/>
  <c r="AG918"/>
  <c r="X919"/>
  <c r="AG919"/>
  <c r="AG920"/>
  <c r="AG922"/>
  <c r="X923"/>
  <c r="AG923"/>
  <c r="X924"/>
  <c r="AG924"/>
  <c r="AD925"/>
  <c r="X926"/>
  <c r="AG926"/>
  <c r="AG925" s="1"/>
  <c r="X927"/>
  <c r="AG927"/>
  <c r="X928"/>
  <c r="AG928"/>
  <c r="X929"/>
  <c r="AG929"/>
  <c r="AG930"/>
  <c r="X931"/>
  <c r="AG931"/>
  <c r="X932"/>
  <c r="AG932"/>
  <c r="X933"/>
  <c r="AG933"/>
  <c r="AD938"/>
  <c r="AE938"/>
  <c r="AF938"/>
  <c r="X939"/>
  <c r="AG939"/>
  <c r="AG940"/>
  <c r="AH940" s="1"/>
  <c r="X941"/>
  <c r="AG941"/>
  <c r="AD942"/>
  <c r="AE942"/>
  <c r="AF942"/>
  <c r="X943"/>
  <c r="AG943"/>
  <c r="X944"/>
  <c r="AG944"/>
  <c r="X945"/>
  <c r="AG945"/>
  <c r="AD946"/>
  <c r="AE946"/>
  <c r="AF946"/>
  <c r="X947"/>
  <c r="X946" s="1"/>
  <c r="AG947"/>
  <c r="X949"/>
  <c r="AG949"/>
  <c r="X950"/>
  <c r="AG950"/>
  <c r="X951"/>
  <c r="AG951"/>
  <c r="AD952"/>
  <c r="AD948" s="1"/>
  <c r="AE952"/>
  <c r="AE948" s="1"/>
  <c r="AF952"/>
  <c r="AF948" s="1"/>
  <c r="X953"/>
  <c r="AG953"/>
  <c r="X954"/>
  <c r="AG954"/>
  <c r="X955"/>
  <c r="AG955"/>
  <c r="X956"/>
  <c r="AG956"/>
  <c r="X957"/>
  <c r="AG957"/>
  <c r="X958"/>
  <c r="AG958"/>
  <c r="X959"/>
  <c r="AG959"/>
  <c r="X960"/>
  <c r="AG960"/>
  <c r="X961"/>
  <c r="AG961"/>
  <c r="X962"/>
  <c r="AG962"/>
  <c r="X963"/>
  <c r="AG963"/>
  <c r="X964"/>
  <c r="AG964"/>
  <c r="AD965"/>
  <c r="AE965"/>
  <c r="AF965"/>
  <c r="AH966"/>
  <c r="X967"/>
  <c r="AG967"/>
  <c r="X968"/>
  <c r="AG968"/>
  <c r="X969"/>
  <c r="AG969"/>
  <c r="X970"/>
  <c r="AG970"/>
  <c r="AH971"/>
  <c r="AH972"/>
  <c r="X973"/>
  <c r="AG973"/>
  <c r="AD977"/>
  <c r="AE977"/>
  <c r="AF977"/>
  <c r="AF976" s="1"/>
  <c r="X978"/>
  <c r="AG978"/>
  <c r="X979"/>
  <c r="AG979"/>
  <c r="AD980"/>
  <c r="AE980"/>
  <c r="AF980"/>
  <c r="X981"/>
  <c r="AG981"/>
  <c r="X982"/>
  <c r="AG982"/>
  <c r="X983"/>
  <c r="AG983"/>
  <c r="AD984"/>
  <c r="AE984"/>
  <c r="AF984"/>
  <c r="X985"/>
  <c r="AG985"/>
  <c r="X987"/>
  <c r="AG987"/>
  <c r="X988"/>
  <c r="AG988"/>
  <c r="X989"/>
  <c r="AG989"/>
  <c r="X990"/>
  <c r="AG990"/>
  <c r="AD991"/>
  <c r="AD986" s="1"/>
  <c r="AE991"/>
  <c r="AE986" s="1"/>
  <c r="AE974" s="1"/>
  <c r="AF991"/>
  <c r="AF986" s="1"/>
  <c r="AF974" s="1"/>
  <c r="X992"/>
  <c r="AG992"/>
  <c r="X993"/>
  <c r="AG993"/>
  <c r="X994"/>
  <c r="AG994"/>
  <c r="X995"/>
  <c r="AG995"/>
  <c r="X996"/>
  <c r="AG996"/>
  <c r="AD997"/>
  <c r="AE997"/>
  <c r="AF997"/>
  <c r="X998"/>
  <c r="X997" s="1"/>
  <c r="AG998"/>
  <c r="AG997" s="1"/>
  <c r="AE1000"/>
  <c r="AF1000"/>
  <c r="AD1004"/>
  <c r="AE1004"/>
  <c r="AF1004"/>
  <c r="AF1003" s="1"/>
  <c r="X1005"/>
  <c r="AG1005"/>
  <c r="X1006"/>
  <c r="AG1006"/>
  <c r="AD1007"/>
  <c r="AE1007"/>
  <c r="AF1007"/>
  <c r="X1008"/>
  <c r="AG1008"/>
  <c r="X1009"/>
  <c r="AG1009"/>
  <c r="X1010"/>
  <c r="AG1010"/>
  <c r="AD1011"/>
  <c r="AE1011"/>
  <c r="AF1011"/>
  <c r="X1012"/>
  <c r="AG1012"/>
  <c r="X1014"/>
  <c r="AG1014"/>
  <c r="X1015"/>
  <c r="AG1015"/>
  <c r="X1016"/>
  <c r="AG1016"/>
  <c r="X1017"/>
  <c r="AG1017"/>
  <c r="AD1018"/>
  <c r="AD1013" s="1"/>
  <c r="AE1018"/>
  <c r="AE1013" s="1"/>
  <c r="AF1018"/>
  <c r="AF1013" s="1"/>
  <c r="X1019"/>
  <c r="AG1019"/>
  <c r="X1020"/>
  <c r="AG1020"/>
  <c r="X1021"/>
  <c r="AG1021"/>
  <c r="X1022"/>
  <c r="AG1022"/>
  <c r="X1023"/>
  <c r="AG1023"/>
  <c r="AD1024"/>
  <c r="AE1024"/>
  <c r="AF1024"/>
  <c r="X1025"/>
  <c r="X1024" s="1"/>
  <c r="AG1025"/>
  <c r="AD1030"/>
  <c r="AE1030"/>
  <c r="AE1029" s="1"/>
  <c r="AF1030"/>
  <c r="AF1029" s="1"/>
  <c r="X1031"/>
  <c r="AG1031"/>
  <c r="AH1032"/>
  <c r="X1033"/>
  <c r="AG1033"/>
  <c r="X1034"/>
  <c r="AG1034"/>
  <c r="AD1035"/>
  <c r="AE1035"/>
  <c r="AF1035"/>
  <c r="X1036"/>
  <c r="AG1036"/>
  <c r="X1037"/>
  <c r="AG1037"/>
  <c r="X1038"/>
  <c r="AG1038"/>
  <c r="X1039"/>
  <c r="AG1039"/>
  <c r="X1040"/>
  <c r="AG1040"/>
  <c r="AD1041"/>
  <c r="AE1041"/>
  <c r="AF1041"/>
  <c r="X1042"/>
  <c r="X1041" s="1"/>
  <c r="AG1042"/>
  <c r="AG1041" s="1"/>
  <c r="X1044"/>
  <c r="AG1044"/>
  <c r="X1045"/>
  <c r="AG1045"/>
  <c r="X1046"/>
  <c r="AG1046"/>
  <c r="X1047"/>
  <c r="AG1047"/>
  <c r="X1048"/>
  <c r="AG1048"/>
  <c r="X1049"/>
  <c r="AG1049"/>
  <c r="X1050"/>
  <c r="AG1050"/>
  <c r="X1051"/>
  <c r="AG1051"/>
  <c r="X1052"/>
  <c r="AG1052"/>
  <c r="AD1053"/>
  <c r="AD1043" s="1"/>
  <c r="AE1053"/>
  <c r="AE1043" s="1"/>
  <c r="AF1053"/>
  <c r="AF1043" s="1"/>
  <c r="X1054"/>
  <c r="AG1054"/>
  <c r="X1055"/>
  <c r="AG1055"/>
  <c r="X1056"/>
  <c r="AG1056"/>
  <c r="X1057"/>
  <c r="AG1057"/>
  <c r="X1058"/>
  <c r="AG1058"/>
  <c r="X1059"/>
  <c r="AG1059"/>
  <c r="X1060"/>
  <c r="AG1060"/>
  <c r="AH1061"/>
  <c r="X1062"/>
  <c r="AG1062"/>
  <c r="AD1063"/>
  <c r="AE1063"/>
  <c r="AF1063"/>
  <c r="X1064"/>
  <c r="AG1064"/>
  <c r="X1065"/>
  <c r="AG1065"/>
  <c r="X1066"/>
  <c r="AG1066"/>
  <c r="AG1067"/>
  <c r="X1070"/>
  <c r="AG1070"/>
  <c r="X1071"/>
  <c r="AG1071"/>
  <c r="X1072"/>
  <c r="AG1072"/>
  <c r="X1073"/>
  <c r="AG1073"/>
  <c r="X1074"/>
  <c r="AG1074"/>
  <c r="X1075"/>
  <c r="AG1075"/>
  <c r="AG1076"/>
  <c r="X1077"/>
  <c r="AG1077"/>
  <c r="X1078"/>
  <c r="AG1078"/>
  <c r="X1079"/>
  <c r="AG1079"/>
  <c r="X1080"/>
  <c r="AG1080"/>
  <c r="X1081"/>
  <c r="AG1081"/>
  <c r="X1082"/>
  <c r="AG1082"/>
  <c r="X1083"/>
  <c r="AG1083"/>
  <c r="X1084"/>
  <c r="AG1084"/>
  <c r="AD1085"/>
  <c r="AD1069" s="1"/>
  <c r="AE1085"/>
  <c r="AE1069" s="1"/>
  <c r="AF1085"/>
  <c r="AF1069" s="1"/>
  <c r="X1086"/>
  <c r="AG1086"/>
  <c r="X1087"/>
  <c r="AG1087"/>
  <c r="X1088"/>
  <c r="AG1088"/>
  <c r="X1089"/>
  <c r="AG1089"/>
  <c r="X1090"/>
  <c r="AG1090"/>
  <c r="X1091"/>
  <c r="AG1091"/>
  <c r="X1092"/>
  <c r="AG1092"/>
  <c r="X1093"/>
  <c r="AG1093"/>
  <c r="X1094"/>
  <c r="AG1094"/>
  <c r="X1095"/>
  <c r="AG1095"/>
  <c r="X1096"/>
  <c r="AG1096"/>
  <c r="X1097"/>
  <c r="AG1097"/>
  <c r="X1098"/>
  <c r="AG1098"/>
  <c r="X1099"/>
  <c r="AG1099"/>
  <c r="X1100"/>
  <c r="AG1100"/>
  <c r="AH1101"/>
  <c r="AH1102"/>
  <c r="AD1103"/>
  <c r="AE1103"/>
  <c r="AF1103"/>
  <c r="X1104"/>
  <c r="AG1104"/>
  <c r="X1105"/>
  <c r="AG1105"/>
  <c r="X1106"/>
  <c r="AG1106"/>
  <c r="X1107"/>
  <c r="AG1107"/>
  <c r="X1108"/>
  <c r="AG1108"/>
  <c r="X1109"/>
  <c r="AG1109"/>
  <c r="X1110"/>
  <c r="AG1110"/>
  <c r="AE1111"/>
  <c r="AD1115"/>
  <c r="AE1115"/>
  <c r="AF1115"/>
  <c r="X1116"/>
  <c r="AG1116"/>
  <c r="AG1117"/>
  <c r="AH1117" s="1"/>
  <c r="X1118"/>
  <c r="AG1118"/>
  <c r="AD1119"/>
  <c r="AE1119"/>
  <c r="AF1119"/>
  <c r="X1120"/>
  <c r="AG1120"/>
  <c r="X1121"/>
  <c r="AG1121"/>
  <c r="X1122"/>
  <c r="AG1122"/>
  <c r="AD1123"/>
  <c r="AE1123"/>
  <c r="AF1123"/>
  <c r="X1124"/>
  <c r="X1123" s="1"/>
  <c r="AG1124"/>
  <c r="X1126"/>
  <c r="AG1126"/>
  <c r="X1127"/>
  <c r="AG1127"/>
  <c r="X1128"/>
  <c r="AG1128"/>
  <c r="X1129"/>
  <c r="AG1129"/>
  <c r="X1130"/>
  <c r="AG1130"/>
  <c r="X1131"/>
  <c r="AG1131"/>
  <c r="X1132"/>
  <c r="AG1132"/>
  <c r="X1133"/>
  <c r="AG1133"/>
  <c r="AD1134"/>
  <c r="AD1125" s="1"/>
  <c r="AE1134"/>
  <c r="AE1125" s="1"/>
  <c r="AF1134"/>
  <c r="AF1125" s="1"/>
  <c r="X1135"/>
  <c r="AG1135"/>
  <c r="X1136"/>
  <c r="AG1136"/>
  <c r="X1137"/>
  <c r="AG1137"/>
  <c r="X1138"/>
  <c r="AG1138"/>
  <c r="X1139"/>
  <c r="AG1139"/>
  <c r="X1140"/>
  <c r="AG1140"/>
  <c r="X1141"/>
  <c r="AG1141"/>
  <c r="X1142"/>
  <c r="AG1142"/>
  <c r="X1143"/>
  <c r="AG1143"/>
  <c r="X1144"/>
  <c r="AG1144"/>
  <c r="X1145"/>
  <c r="AG1145"/>
  <c r="AG1146"/>
  <c r="X1147"/>
  <c r="AG1147"/>
  <c r="AH1148"/>
  <c r="X1149"/>
  <c r="AG1149"/>
  <c r="X1150"/>
  <c r="AG1150"/>
  <c r="X1151"/>
  <c r="AG1151"/>
  <c r="X1152"/>
  <c r="AG1152"/>
  <c r="X1153"/>
  <c r="AG1153"/>
  <c r="X1154"/>
  <c r="AG1154"/>
  <c r="AD1159"/>
  <c r="AE1159"/>
  <c r="AF1159"/>
  <c r="X1160"/>
  <c r="AG1160"/>
  <c r="X1162"/>
  <c r="AG1162"/>
  <c r="AD1163"/>
  <c r="AE1163"/>
  <c r="AF1163"/>
  <c r="X1164"/>
  <c r="AG1164"/>
  <c r="X1165"/>
  <c r="AG1165"/>
  <c r="X1166"/>
  <c r="AG1166"/>
  <c r="AD1167"/>
  <c r="AE1167"/>
  <c r="AF1167"/>
  <c r="X1168"/>
  <c r="AG1168"/>
  <c r="X1170"/>
  <c r="AG1170"/>
  <c r="X1171"/>
  <c r="AG1171"/>
  <c r="X1172"/>
  <c r="AG1172"/>
  <c r="X1173"/>
  <c r="AG1173"/>
  <c r="X1174"/>
  <c r="AG1174"/>
  <c r="AD1175"/>
  <c r="AD1169" s="1"/>
  <c r="AE1175"/>
  <c r="AE1169" s="1"/>
  <c r="AF1175"/>
  <c r="AF1169" s="1"/>
  <c r="X1176"/>
  <c r="AG1176"/>
  <c r="X1177"/>
  <c r="AG1177"/>
  <c r="X1178"/>
  <c r="AG1178"/>
  <c r="X1179"/>
  <c r="AG1179"/>
  <c r="X1180"/>
  <c r="AG1180"/>
  <c r="X1181"/>
  <c r="AG1181"/>
  <c r="AH1185"/>
  <c r="AD1189"/>
  <c r="AE1189"/>
  <c r="AF1189"/>
  <c r="X1190"/>
  <c r="AG1190"/>
  <c r="X1191"/>
  <c r="AG1191"/>
  <c r="X1192"/>
  <c r="AG1192"/>
  <c r="X1193"/>
  <c r="AG1193"/>
  <c r="X1194"/>
  <c r="AG1194"/>
  <c r="X1195"/>
  <c r="AG1195"/>
  <c r="X1196"/>
  <c r="AG1196"/>
  <c r="X1197"/>
  <c r="AG1197"/>
  <c r="AH1198"/>
  <c r="X1199"/>
  <c r="AG1199"/>
  <c r="X1200"/>
  <c r="AG1200"/>
  <c r="X1201"/>
  <c r="AG1201"/>
  <c r="X1202"/>
  <c r="AG1202"/>
  <c r="X1204"/>
  <c r="AG1204"/>
  <c r="X1205"/>
  <c r="AG1205"/>
  <c r="X1206"/>
  <c r="AG1206"/>
  <c r="X1207"/>
  <c r="AG1207"/>
  <c r="AD1208"/>
  <c r="AE1208"/>
  <c r="AF1208"/>
  <c r="X1209"/>
  <c r="AG1209"/>
  <c r="X1210"/>
  <c r="AG1210"/>
  <c r="X1211"/>
  <c r="AG1211"/>
  <c r="X1212"/>
  <c r="AG1212"/>
  <c r="X1213"/>
  <c r="AG1213"/>
  <c r="X1214"/>
  <c r="AG1214"/>
  <c r="X1215"/>
  <c r="AG1215"/>
  <c r="X1216"/>
  <c r="AG1216"/>
  <c r="X1217"/>
  <c r="AG1217"/>
  <c r="X1218"/>
  <c r="AG1218"/>
  <c r="X1219"/>
  <c r="AG1219"/>
  <c r="X1220"/>
  <c r="AG1220"/>
  <c r="X1221"/>
  <c r="AG1221"/>
  <c r="X1222"/>
  <c r="AG1222"/>
  <c r="X1223"/>
  <c r="AG1223"/>
  <c r="X1224"/>
  <c r="AG1224"/>
  <c r="AD1225"/>
  <c r="AE1225"/>
  <c r="AF1225"/>
  <c r="X1226"/>
  <c r="AG1226"/>
  <c r="X1227"/>
  <c r="AG1227"/>
  <c r="AD1230"/>
  <c r="AD1229" s="1"/>
  <c r="AE1230"/>
  <c r="AE1229" s="1"/>
  <c r="AF1230"/>
  <c r="AF1229" s="1"/>
  <c r="X1231"/>
  <c r="AG1231"/>
  <c r="X1232"/>
  <c r="AG1232"/>
  <c r="X1233"/>
  <c r="AG1233"/>
  <c r="X1234"/>
  <c r="AG1234"/>
  <c r="X1235"/>
  <c r="AG1235"/>
  <c r="X1236"/>
  <c r="AG1236"/>
  <c r="X1237"/>
  <c r="AG1237"/>
  <c r="X1238"/>
  <c r="AG1238"/>
  <c r="AD1240"/>
  <c r="AD1239" s="1"/>
  <c r="AE1240"/>
  <c r="AE1239" s="1"/>
  <c r="AF1240"/>
  <c r="AF1239" s="1"/>
  <c r="X1241"/>
  <c r="AG1241"/>
  <c r="X1242"/>
  <c r="AG1242"/>
  <c r="X1243"/>
  <c r="AG1243"/>
  <c r="X1244"/>
  <c r="AG1244"/>
  <c r="X1245"/>
  <c r="AG1245"/>
  <c r="X1246"/>
  <c r="AG1246"/>
  <c r="X1247"/>
  <c r="AG1247"/>
  <c r="X1248"/>
  <c r="AG1248"/>
  <c r="X1249"/>
  <c r="AG1249"/>
  <c r="X1250"/>
  <c r="AG1250"/>
  <c r="X1251"/>
  <c r="AG1251"/>
  <c r="X1252"/>
  <c r="AG1252"/>
  <c r="X1253"/>
  <c r="AG1253"/>
  <c r="X1254"/>
  <c r="AG1254"/>
  <c r="X1255"/>
  <c r="AG1255"/>
  <c r="X1256"/>
  <c r="AG1256"/>
  <c r="X1257"/>
  <c r="AG1257"/>
  <c r="X1258"/>
  <c r="AG1258"/>
  <c r="X1259"/>
  <c r="AG1259"/>
  <c r="X1260"/>
  <c r="AG1260"/>
  <c r="X1261"/>
  <c r="AG1261"/>
  <c r="X1262"/>
  <c r="AG1262"/>
  <c r="X1263"/>
  <c r="AG1263"/>
  <c r="X1264"/>
  <c r="AG1264"/>
  <c r="X1265"/>
  <c r="AG1265"/>
  <c r="X1266"/>
  <c r="AG1266"/>
  <c r="X1267"/>
  <c r="AG1267"/>
  <c r="X1268"/>
  <c r="AG1268"/>
  <c r="X1269"/>
  <c r="AG1269"/>
  <c r="X1270"/>
  <c r="AG1270"/>
  <c r="X1271"/>
  <c r="AG1271"/>
  <c r="X1272"/>
  <c r="AG1272"/>
  <c r="X1273"/>
  <c r="AG1273"/>
  <c r="AD1274"/>
  <c r="AE1274"/>
  <c r="AF1274"/>
  <c r="X1275"/>
  <c r="AG1275"/>
  <c r="X1276"/>
  <c r="AG1276"/>
  <c r="X1277"/>
  <c r="AG1277"/>
  <c r="X1278"/>
  <c r="AG1278"/>
  <c r="AD1279"/>
  <c r="AE1279"/>
  <c r="AF1279"/>
  <c r="X1280"/>
  <c r="AG1280"/>
  <c r="AG1281"/>
  <c r="X1282"/>
  <c r="AG1282"/>
  <c r="X1283"/>
  <c r="AG1283"/>
  <c r="AD1284"/>
  <c r="AE1284"/>
  <c r="AF1284"/>
  <c r="X1285"/>
  <c r="AG1285"/>
  <c r="X1286"/>
  <c r="AG1286"/>
  <c r="X1287"/>
  <c r="AG1287"/>
  <c r="AD1289"/>
  <c r="AE1289"/>
  <c r="AF1289"/>
  <c r="X1290"/>
  <c r="AG1290"/>
  <c r="X1291"/>
  <c r="AG1291"/>
  <c r="X1292"/>
  <c r="AG1292"/>
  <c r="X1293"/>
  <c r="AG1293"/>
  <c r="X1294"/>
  <c r="AG1294"/>
  <c r="X1295"/>
  <c r="AG1295"/>
  <c r="X1296"/>
  <c r="AG1296"/>
  <c r="X1297"/>
  <c r="AG1297"/>
  <c r="X1298"/>
  <c r="AG1298"/>
  <c r="X1299"/>
  <c r="AG1299"/>
  <c r="X1300"/>
  <c r="AG1300"/>
  <c r="X1301"/>
  <c r="AG1301"/>
  <c r="X1302"/>
  <c r="AG1302"/>
  <c r="X1303"/>
  <c r="AG1303"/>
  <c r="X1304"/>
  <c r="AG1304"/>
  <c r="X1305"/>
  <c r="AG1305"/>
  <c r="X1306"/>
  <c r="AG1306"/>
  <c r="X1307"/>
  <c r="AG1307"/>
  <c r="X1308"/>
  <c r="AG1308"/>
  <c r="X1309"/>
  <c r="AG1309"/>
  <c r="X1310"/>
  <c r="AG1310"/>
  <c r="X1311"/>
  <c r="AG1311"/>
  <c r="AD1312"/>
  <c r="AE1312"/>
  <c r="AF1312"/>
  <c r="X1313"/>
  <c r="AG1313"/>
  <c r="X1314"/>
  <c r="AG1314"/>
  <c r="X1315"/>
  <c r="AG1315"/>
  <c r="X1316"/>
  <c r="AG1316"/>
  <c r="X1317"/>
  <c r="AG1317"/>
  <c r="X1318"/>
  <c r="AG1318"/>
  <c r="X1319"/>
  <c r="AD1319"/>
  <c r="AG1319" s="1"/>
  <c r="X1320"/>
  <c r="AG1320"/>
  <c r="X1321"/>
  <c r="AG1321"/>
  <c r="X1324"/>
  <c r="AG1324"/>
  <c r="X1325"/>
  <c r="AG1325"/>
  <c r="X1326"/>
  <c r="AG1326"/>
  <c r="AD1327"/>
  <c r="X1328"/>
  <c r="AG1328"/>
  <c r="X1329"/>
  <c r="AG1329"/>
  <c r="AD1330"/>
  <c r="X1331"/>
  <c r="AG1331"/>
  <c r="AH1332"/>
  <c r="X1333"/>
  <c r="AG1333"/>
  <c r="AH1334"/>
  <c r="AD1337"/>
  <c r="AD1336" s="1"/>
  <c r="AD1335" s="1"/>
  <c r="AE1337"/>
  <c r="AE1336" s="1"/>
  <c r="AE1335" s="1"/>
  <c r="AF1337"/>
  <c r="AF1336" s="1"/>
  <c r="AF1335" s="1"/>
  <c r="X1338"/>
  <c r="AG1338"/>
  <c r="X1339"/>
  <c r="AG1339"/>
  <c r="X1340"/>
  <c r="AG1340"/>
  <c r="X1341"/>
  <c r="AG1341"/>
  <c r="X1342"/>
  <c r="AG1342"/>
  <c r="X1343"/>
  <c r="AG1343"/>
  <c r="X1344"/>
  <c r="AG1344"/>
  <c r="X1345"/>
  <c r="AG1345"/>
  <c r="X1346"/>
  <c r="AG1346"/>
  <c r="X1347"/>
  <c r="AG1347"/>
  <c r="X1348"/>
  <c r="AG1348"/>
  <c r="X1349"/>
  <c r="AG1349"/>
  <c r="X1350"/>
  <c r="AG1350"/>
  <c r="X1351"/>
  <c r="AG1351"/>
  <c r="AD1356"/>
  <c r="AE1356"/>
  <c r="AF1356"/>
  <c r="X1357"/>
  <c r="AG1357"/>
  <c r="X1358"/>
  <c r="AG1358"/>
  <c r="X1359"/>
  <c r="AG1359"/>
  <c r="AD1360"/>
  <c r="AE1360"/>
  <c r="AF1360"/>
  <c r="X1361"/>
  <c r="AG1361"/>
  <c r="X1362"/>
  <c r="AG1362"/>
  <c r="X1363"/>
  <c r="AG1363"/>
  <c r="AD1364"/>
  <c r="AE1364"/>
  <c r="AF1364"/>
  <c r="X1365"/>
  <c r="AG1365"/>
  <c r="X1367"/>
  <c r="AG1367"/>
  <c r="X1368"/>
  <c r="AG1368"/>
  <c r="X1369"/>
  <c r="AG1369"/>
  <c r="X1370"/>
  <c r="AG1370"/>
  <c r="X1371"/>
  <c r="AG1371"/>
  <c r="AD1372"/>
  <c r="AD1366" s="1"/>
  <c r="AE1372"/>
  <c r="AE1366" s="1"/>
  <c r="AF1372"/>
  <c r="AF1366" s="1"/>
  <c r="X1373"/>
  <c r="AG1373"/>
  <c r="X1374"/>
  <c r="AG1374"/>
  <c r="AH1375"/>
  <c r="X1376"/>
  <c r="AG1376"/>
  <c r="X1377"/>
  <c r="AG1377"/>
  <c r="X1378"/>
  <c r="AG1378"/>
  <c r="X1379"/>
  <c r="AG1379"/>
  <c r="X1380"/>
  <c r="AG1380"/>
  <c r="X1381"/>
  <c r="AG1381"/>
  <c r="AD1385"/>
  <c r="AE1385"/>
  <c r="AF1385"/>
  <c r="X1386"/>
  <c r="AG1386"/>
  <c r="X1387"/>
  <c r="AG1387"/>
  <c r="AH1388"/>
  <c r="AH1389"/>
  <c r="X1390"/>
  <c r="AG1390"/>
  <c r="X1391"/>
  <c r="AG1391"/>
  <c r="X1392"/>
  <c r="AG1392"/>
  <c r="X1394"/>
  <c r="AG1394"/>
  <c r="X1395"/>
  <c r="AG1395"/>
  <c r="X1397"/>
  <c r="AG1397"/>
  <c r="X1398"/>
  <c r="AG1398"/>
  <c r="X1399"/>
  <c r="AG1399"/>
  <c r="X1400"/>
  <c r="AG1400"/>
  <c r="X1401"/>
  <c r="AG1401"/>
  <c r="X1402"/>
  <c r="AG1402"/>
  <c r="X1403"/>
  <c r="AG1403"/>
  <c r="X1404"/>
  <c r="AG1404"/>
  <c r="X1405"/>
  <c r="AG1405"/>
  <c r="AD1408"/>
  <c r="AE1408"/>
  <c r="AF1408"/>
  <c r="X1409"/>
  <c r="AG1409"/>
  <c r="X1410"/>
  <c r="AG1410"/>
  <c r="X1411"/>
  <c r="AG1411"/>
  <c r="AD1412"/>
  <c r="AE1412"/>
  <c r="AF1412"/>
  <c r="X1413"/>
  <c r="AG1413"/>
  <c r="X1414"/>
  <c r="AG1414"/>
  <c r="AD1415"/>
  <c r="AE1415"/>
  <c r="AF1415"/>
  <c r="X1416"/>
  <c r="AG1416"/>
  <c r="X1417"/>
  <c r="AG1417"/>
  <c r="X1418"/>
  <c r="AG1418"/>
  <c r="AD1419"/>
  <c r="AE1419"/>
  <c r="AF1419"/>
  <c r="X1420"/>
  <c r="AG1420"/>
  <c r="X1421"/>
  <c r="AG1421"/>
  <c r="X1422"/>
  <c r="AG1422"/>
  <c r="AD1423"/>
  <c r="AE1423"/>
  <c r="AF1423"/>
  <c r="X1424"/>
  <c r="AG1424"/>
  <c r="X1425"/>
  <c r="AG1425"/>
  <c r="X1426"/>
  <c r="AG1426"/>
  <c r="AD1427"/>
  <c r="AE1427"/>
  <c r="AF1427"/>
  <c r="X1428"/>
  <c r="AG1428"/>
  <c r="X1429"/>
  <c r="AG1429"/>
  <c r="X1430"/>
  <c r="AG1430"/>
  <c r="AD1431"/>
  <c r="AE1431"/>
  <c r="AF1431"/>
  <c r="X1432"/>
  <c r="AG1432"/>
  <c r="X1433"/>
  <c r="AG1433"/>
  <c r="X1434"/>
  <c r="AG1434"/>
  <c r="AD1435"/>
  <c r="AE1435"/>
  <c r="AF1435"/>
  <c r="X1436"/>
  <c r="AG1436"/>
  <c r="X1437"/>
  <c r="AG1437"/>
  <c r="X1438"/>
  <c r="AG1438"/>
  <c r="X1439"/>
  <c r="AG1439"/>
  <c r="X1440"/>
  <c r="AG1440"/>
  <c r="X1441"/>
  <c r="AG1441"/>
  <c r="X1442"/>
  <c r="AG1442"/>
  <c r="X1443"/>
  <c r="AG1443"/>
  <c r="X1444"/>
  <c r="AG1444"/>
  <c r="X1445"/>
  <c r="AG1445"/>
  <c r="X1446"/>
  <c r="AG1446"/>
  <c r="X1447"/>
  <c r="AG1447"/>
  <c r="X1448"/>
  <c r="AG1448"/>
  <c r="X1449"/>
  <c r="AG1449"/>
  <c r="AH1450"/>
  <c r="X1451"/>
  <c r="AG1451"/>
  <c r="X1452"/>
  <c r="AG1452"/>
  <c r="X1453"/>
  <c r="AG1453"/>
  <c r="X1454"/>
  <c r="AG1454"/>
  <c r="X1455"/>
  <c r="AG1455"/>
  <c r="X1456"/>
  <c r="AG1456"/>
  <c r="X1457"/>
  <c r="AG1457"/>
  <c r="AD1458"/>
  <c r="AE1458"/>
  <c r="AF1458"/>
  <c r="X1459"/>
  <c r="X1458" s="1"/>
  <c r="AG1459"/>
  <c r="AD1464"/>
  <c r="AE1464"/>
  <c r="AE1463" s="1"/>
  <c r="AF1464"/>
  <c r="AF1463" s="1"/>
  <c r="X1465"/>
  <c r="AG1465"/>
  <c r="X1466"/>
  <c r="AG1466"/>
  <c r="AD1467"/>
  <c r="AE1467"/>
  <c r="AF1467"/>
  <c r="X1468"/>
  <c r="AG1468"/>
  <c r="X1469"/>
  <c r="AG1469"/>
  <c r="X1470"/>
  <c r="AG1470"/>
  <c r="AD1471"/>
  <c r="AE1471"/>
  <c r="AF1471"/>
  <c r="X1472"/>
  <c r="X1471" s="1"/>
  <c r="AG1472"/>
  <c r="AG1471" s="1"/>
  <c r="X1474"/>
  <c r="AG1474"/>
  <c r="X1475"/>
  <c r="AG1475"/>
  <c r="X1476"/>
  <c r="AG1476"/>
  <c r="X1477"/>
  <c r="AG1477"/>
  <c r="X1478"/>
  <c r="AG1478"/>
  <c r="AD1479"/>
  <c r="AD1473" s="1"/>
  <c r="AE1479"/>
  <c r="AE1473" s="1"/>
  <c r="AF1479"/>
  <c r="AF1473" s="1"/>
  <c r="X1480"/>
  <c r="AG1480"/>
  <c r="X1481"/>
  <c r="AG1481"/>
  <c r="X1482"/>
  <c r="AG1482"/>
  <c r="X1483"/>
  <c r="AG1483"/>
  <c r="AD1485"/>
  <c r="AD1484" s="1"/>
  <c r="AE1485"/>
  <c r="AE1484" s="1"/>
  <c r="AF1485"/>
  <c r="AF1484" s="1"/>
  <c r="X1486"/>
  <c r="AG1486"/>
  <c r="X1487"/>
  <c r="AG1487"/>
  <c r="X1488"/>
  <c r="AG1488"/>
  <c r="X1489"/>
  <c r="AG1489"/>
  <c r="X1490"/>
  <c r="AG1490"/>
  <c r="X1491"/>
  <c r="AG1491"/>
  <c r="X1492"/>
  <c r="AG1492"/>
  <c r="AG1493"/>
  <c r="AG1494"/>
  <c r="AG1495"/>
  <c r="AG1497"/>
  <c r="X1498"/>
  <c r="AG1498"/>
  <c r="X1499"/>
  <c r="AG1499"/>
  <c r="X1500"/>
  <c r="AG1500"/>
  <c r="X1501"/>
  <c r="AG1501"/>
  <c r="X1502"/>
  <c r="AG1502"/>
  <c r="X1503"/>
  <c r="AG1503"/>
  <c r="X1504"/>
  <c r="AG1504"/>
  <c r="X1505"/>
  <c r="AG1505"/>
  <c r="X1506"/>
  <c r="AG1506"/>
  <c r="X1507"/>
  <c r="AG1507"/>
  <c r="X1508"/>
  <c r="AG1508"/>
  <c r="X1509"/>
  <c r="AG1509"/>
  <c r="X1510"/>
  <c r="AG1510"/>
  <c r="X1513"/>
  <c r="AG1513"/>
  <c r="AD1515"/>
  <c r="AE1515"/>
  <c r="AF1515"/>
  <c r="X1516"/>
  <c r="AG1516"/>
  <c r="X1517"/>
  <c r="AG1517"/>
  <c r="X1518"/>
  <c r="AG1518"/>
  <c r="X1519"/>
  <c r="AG1519"/>
  <c r="X1520"/>
  <c r="AG1520"/>
  <c r="X1521"/>
  <c r="AG1521"/>
  <c r="X1522"/>
  <c r="AG1522"/>
  <c r="X1523"/>
  <c r="AG1523"/>
  <c r="X1524"/>
  <c r="AG1524"/>
  <c r="X1525"/>
  <c r="AG1525"/>
  <c r="X1526"/>
  <c r="AG1526"/>
  <c r="X1527"/>
  <c r="AG1527"/>
  <c r="AD1528"/>
  <c r="AE1528"/>
  <c r="AF1528"/>
  <c r="X1529"/>
  <c r="AG1529"/>
  <c r="X1530"/>
  <c r="AG1530"/>
  <c r="X1531"/>
  <c r="AG1531"/>
  <c r="X1532"/>
  <c r="AG1532"/>
  <c r="X1533"/>
  <c r="AG1533"/>
  <c r="X1534"/>
  <c r="AG1534"/>
  <c r="X1535"/>
  <c r="AG1535"/>
  <c r="X1536"/>
  <c r="AG1536"/>
  <c r="X1537"/>
  <c r="AG1537"/>
  <c r="X1538"/>
  <c r="AG1538"/>
  <c r="X1539"/>
  <c r="AG1539"/>
  <c r="X1540"/>
  <c r="AG1540"/>
  <c r="X1541"/>
  <c r="AG1541"/>
  <c r="AH1542"/>
  <c r="X1543"/>
  <c r="AG1543"/>
  <c r="X1544"/>
  <c r="AG1544"/>
  <c r="X1545"/>
  <c r="AG1545"/>
  <c r="X1546"/>
  <c r="AG1546"/>
  <c r="X1547"/>
  <c r="AG1547"/>
  <c r="X1548"/>
  <c r="AG1548"/>
  <c r="X1549"/>
  <c r="AG1549"/>
  <c r="X1550"/>
  <c r="AG1550"/>
  <c r="X1551"/>
  <c r="AG1551"/>
  <c r="AH1552"/>
  <c r="AH1553"/>
  <c r="X1554"/>
  <c r="AG1554"/>
  <c r="AH1555"/>
  <c r="X1556"/>
  <c r="AG1556"/>
  <c r="X1557"/>
  <c r="AG1557"/>
  <c r="X1558"/>
  <c r="AG1558"/>
  <c r="X1559"/>
  <c r="AG1559"/>
  <c r="X1560"/>
  <c r="AG1560"/>
  <c r="X1561"/>
  <c r="AG1561"/>
  <c r="X1562"/>
  <c r="AG1562"/>
  <c r="AG1563"/>
  <c r="X1564"/>
  <c r="AG1564"/>
  <c r="AD1565"/>
  <c r="AE1565"/>
  <c r="AF1565"/>
  <c r="X1566"/>
  <c r="AG1566"/>
  <c r="X1567"/>
  <c r="AG1567"/>
  <c r="X1568"/>
  <c r="AG1568"/>
  <c r="X1569"/>
  <c r="AG1569"/>
  <c r="X1570"/>
  <c r="AG1570"/>
  <c r="X1571"/>
  <c r="AG1571"/>
  <c r="X1572"/>
  <c r="AG1572"/>
  <c r="AD1573"/>
  <c r="AE1573"/>
  <c r="AF1573"/>
  <c r="X1574"/>
  <c r="AG1574"/>
  <c r="X1575"/>
  <c r="AG1575"/>
  <c r="AD1576"/>
  <c r="AE1576"/>
  <c r="AF1576"/>
  <c r="AG1577"/>
  <c r="AG1578"/>
  <c r="AG1579"/>
  <c r="X1580"/>
  <c r="X1576" s="1"/>
  <c r="AG1580"/>
  <c r="AE1581"/>
  <c r="AF1581"/>
  <c r="AE1584"/>
  <c r="AF1584"/>
  <c r="X1585"/>
  <c r="AD1585"/>
  <c r="AG1585" s="1"/>
  <c r="X1586"/>
  <c r="AG1586"/>
  <c r="X1587"/>
  <c r="AG1587"/>
  <c r="AD1588"/>
  <c r="AE1588"/>
  <c r="AF1588"/>
  <c r="X1589"/>
  <c r="AG1589"/>
  <c r="X1591"/>
  <c r="AG1591"/>
  <c r="X1593"/>
  <c r="AG1593"/>
  <c r="AD1594"/>
  <c r="AE1594"/>
  <c r="AF1594"/>
  <c r="X1595"/>
  <c r="X1594" s="1"/>
  <c r="AG1595"/>
  <c r="X1597"/>
  <c r="AG1597"/>
  <c r="X1598"/>
  <c r="AG1598"/>
  <c r="X1599"/>
  <c r="AG1599"/>
  <c r="X1600"/>
  <c r="AG1600"/>
  <c r="X1601"/>
  <c r="AG1601"/>
  <c r="X1602"/>
  <c r="AG1602"/>
  <c r="X1603"/>
  <c r="AG1603"/>
  <c r="AD1604"/>
  <c r="AD1596" s="1"/>
  <c r="AE1604"/>
  <c r="AE1596" s="1"/>
  <c r="AF1604"/>
  <c r="AF1596" s="1"/>
  <c r="X1605"/>
  <c r="AG1605"/>
  <c r="X1606"/>
  <c r="AG1606"/>
  <c r="X1607"/>
  <c r="AG1607"/>
  <c r="X1608"/>
  <c r="AG1608"/>
  <c r="X1609"/>
  <c r="AG1609"/>
  <c r="X1611"/>
  <c r="AG1611"/>
  <c r="AG1613"/>
  <c r="X1614"/>
  <c r="AG1614"/>
  <c r="AD1615"/>
  <c r="AE1615"/>
  <c r="AF1615"/>
  <c r="X1616"/>
  <c r="X1615" s="1"/>
  <c r="AG1616"/>
  <c r="AG1615" s="1"/>
  <c r="AE1617"/>
  <c r="AF1617"/>
  <c r="AD1620"/>
  <c r="X1621"/>
  <c r="AG1621"/>
  <c r="X1622"/>
  <c r="AG1622"/>
  <c r="AD1623"/>
  <c r="X1624"/>
  <c r="AG1624"/>
  <c r="X1625"/>
  <c r="AG1625"/>
  <c r="X1626"/>
  <c r="AG1626"/>
  <c r="X1627"/>
  <c r="AG1627"/>
  <c r="AD1628"/>
  <c r="X1629"/>
  <c r="X1628" s="1"/>
  <c r="AG1629"/>
  <c r="X1631"/>
  <c r="AG1631"/>
  <c r="X1632"/>
  <c r="AG1632"/>
  <c r="X1633"/>
  <c r="AG1633"/>
  <c r="X1634"/>
  <c r="AG1634"/>
  <c r="X1635"/>
  <c r="AG1635"/>
  <c r="X1636"/>
  <c r="AG1636"/>
  <c r="AD1637"/>
  <c r="AD1630" s="1"/>
  <c r="AE1637"/>
  <c r="AF1637"/>
  <c r="X1638"/>
  <c r="AG1638"/>
  <c r="X1639"/>
  <c r="AG1639"/>
  <c r="X1640"/>
  <c r="AG1640"/>
  <c r="X1641"/>
  <c r="AG1641"/>
  <c r="X1642"/>
  <c r="AG1642"/>
  <c r="X1643"/>
  <c r="AG1643"/>
  <c r="X1644"/>
  <c r="AG1644"/>
  <c r="X1645"/>
  <c r="AG1645"/>
  <c r="AD1646"/>
  <c r="AE1646"/>
  <c r="AF1646"/>
  <c r="X1647"/>
  <c r="X1646" s="1"/>
  <c r="AG1647"/>
  <c r="AG1646" s="1"/>
  <c r="AD1651"/>
  <c r="AE1651"/>
  <c r="AF1651"/>
  <c r="X1652"/>
  <c r="AG1652"/>
  <c r="X1653"/>
  <c r="AG1653"/>
  <c r="AD1654"/>
  <c r="AE1654"/>
  <c r="AF1654"/>
  <c r="X1655"/>
  <c r="AG1655"/>
  <c r="X1656"/>
  <c r="AG1656"/>
  <c r="X1657"/>
  <c r="AG1657"/>
  <c r="X1658"/>
  <c r="AG1658"/>
  <c r="AD1659"/>
  <c r="AE1659"/>
  <c r="AF1659"/>
  <c r="X1660"/>
  <c r="X1659" s="1"/>
  <c r="AG1660"/>
  <c r="X1662"/>
  <c r="AG1662"/>
  <c r="X1663"/>
  <c r="AG1663"/>
  <c r="X1664"/>
  <c r="AG1664"/>
  <c r="X1665"/>
  <c r="AG1665"/>
  <c r="X1666"/>
  <c r="AG1666"/>
  <c r="X1667"/>
  <c r="AG1667"/>
  <c r="AD1668"/>
  <c r="AD1661" s="1"/>
  <c r="AE1668"/>
  <c r="AE1661" s="1"/>
  <c r="AF1668"/>
  <c r="AF1661" s="1"/>
  <c r="X1669"/>
  <c r="AG1669"/>
  <c r="X1670"/>
  <c r="AG1670"/>
  <c r="X1671"/>
  <c r="AG1671"/>
  <c r="X1672"/>
  <c r="AG1672"/>
  <c r="X1673"/>
  <c r="AG1673"/>
  <c r="X1674"/>
  <c r="AG1674"/>
  <c r="X1675"/>
  <c r="AG1675"/>
  <c r="X1676"/>
  <c r="AG1676"/>
  <c r="AD1677"/>
  <c r="AE1677"/>
  <c r="AF1677"/>
  <c r="X1678"/>
  <c r="AG1678"/>
  <c r="X1679"/>
  <c r="AG1679"/>
  <c r="X1680"/>
  <c r="AG1680"/>
  <c r="X1681"/>
  <c r="AG1681"/>
  <c r="X1682"/>
  <c r="AG1682"/>
  <c r="X1683"/>
  <c r="AG1683"/>
  <c r="X1684"/>
  <c r="AG1684"/>
  <c r="AE1685"/>
  <c r="AF1685"/>
  <c r="AD1686"/>
  <c r="AE1686"/>
  <c r="AF1686"/>
  <c r="AH906" l="1"/>
  <c r="AH1316"/>
  <c r="AF1114"/>
  <c r="AF1113" s="1"/>
  <c r="AF1111" s="1"/>
  <c r="AE1114"/>
  <c r="AH945"/>
  <c r="AE937"/>
  <c r="AH1252"/>
  <c r="AH1248"/>
  <c r="AH1244"/>
  <c r="AH1207"/>
  <c r="AH1143"/>
  <c r="AH1139"/>
  <c r="AH1137"/>
  <c r="AH1098"/>
  <c r="AH1090"/>
  <c r="AH1088"/>
  <c r="AH1074"/>
  <c r="AH1072"/>
  <c r="AH1309"/>
  <c r="AH1571"/>
  <c r="AH1561"/>
  <c r="AH1311"/>
  <c r="AH1676"/>
  <c r="AH1674"/>
  <c r="AH1672"/>
  <c r="AH1635"/>
  <c r="AH1631"/>
  <c r="AH1560"/>
  <c r="AH1540"/>
  <c r="AH1538"/>
  <c r="AH1534"/>
  <c r="AH1532"/>
  <c r="AH1530"/>
  <c r="AH1510"/>
  <c r="AH1504"/>
  <c r="AH1489"/>
  <c r="AH1487"/>
  <c r="AH1432"/>
  <c r="AH1333"/>
  <c r="AH1318"/>
  <c r="AG1573"/>
  <c r="AH1558"/>
  <c r="AG1435"/>
  <c r="AH1339"/>
  <c r="X1330"/>
  <c r="AD1068"/>
  <c r="AH1609"/>
  <c r="AH1591"/>
  <c r="AH1564"/>
  <c r="AH1293"/>
  <c r="AH1277"/>
  <c r="AH1047"/>
  <c r="AH1041"/>
  <c r="AH1040"/>
  <c r="AH967"/>
  <c r="AH961"/>
  <c r="AH959"/>
  <c r="AH1070"/>
  <c r="AG1686"/>
  <c r="AH1671"/>
  <c r="AH1655"/>
  <c r="AH1632"/>
  <c r="AH1629"/>
  <c r="AH1614"/>
  <c r="AH1598"/>
  <c r="AH1595"/>
  <c r="AH1516"/>
  <c r="AH1503"/>
  <c r="AH1482"/>
  <c r="X1464"/>
  <c r="AH1459"/>
  <c r="AH1411"/>
  <c r="AH1350"/>
  <c r="AH1261"/>
  <c r="AH1257"/>
  <c r="AH1255"/>
  <c r="AH1195"/>
  <c r="AH1193"/>
  <c r="AH1170"/>
  <c r="AH1466"/>
  <c r="AH1300"/>
  <c r="AH1282"/>
  <c r="AH1066"/>
  <c r="AH1062"/>
  <c r="AH1009"/>
  <c r="AH951"/>
  <c r="AH1682"/>
  <c r="AH1667"/>
  <c r="AH1643"/>
  <c r="AH1641"/>
  <c r="AH1404"/>
  <c r="AH1400"/>
  <c r="AH1398"/>
  <c r="AH1390"/>
  <c r="AH1379"/>
  <c r="AH1377"/>
  <c r="AH1369"/>
  <c r="AH1287"/>
  <c r="AH1253"/>
  <c r="AH1245"/>
  <c r="AH1223"/>
  <c r="AH1215"/>
  <c r="AH1213"/>
  <c r="AH1192"/>
  <c r="AH1173"/>
  <c r="AH1171"/>
  <c r="AH1122"/>
  <c r="AH1087"/>
  <c r="AG1588"/>
  <c r="AG1584" s="1"/>
  <c r="AG1458"/>
  <c r="AH1458" s="1"/>
  <c r="AG1412"/>
  <c r="AH907"/>
  <c r="AH1638"/>
  <c r="AH1626"/>
  <c r="AH1608"/>
  <c r="AH1587"/>
  <c r="AH1585"/>
  <c r="AH1572"/>
  <c r="AH1562"/>
  <c r="AH1549"/>
  <c r="AH1547"/>
  <c r="AH1545"/>
  <c r="AH1527"/>
  <c r="AH1525"/>
  <c r="AH1523"/>
  <c r="AH1521"/>
  <c r="AH1483"/>
  <c r="AH1475"/>
  <c r="AH1470"/>
  <c r="AH1446"/>
  <c r="AH1444"/>
  <c r="AH1438"/>
  <c r="AH1434"/>
  <c r="AH1348"/>
  <c r="AH1310"/>
  <c r="AH1280"/>
  <c r="AH1269"/>
  <c r="AH1265"/>
  <c r="AH1263"/>
  <c r="AH1254"/>
  <c r="AH1164"/>
  <c r="AH1055"/>
  <c r="AH1017"/>
  <c r="AH962"/>
  <c r="AH958"/>
  <c r="AH1599"/>
  <c r="AH1535"/>
  <c r="AH1541"/>
  <c r="AH1492"/>
  <c r="AD1463"/>
  <c r="AD1462" s="1"/>
  <c r="AH1304"/>
  <c r="AH1046"/>
  <c r="AH1037"/>
  <c r="AH1021"/>
  <c r="AH1319"/>
  <c r="AH1296"/>
  <c r="AH1294"/>
  <c r="AG1284"/>
  <c r="X1279"/>
  <c r="AG1279"/>
  <c r="AH1278"/>
  <c r="AH1219"/>
  <c r="AH1160"/>
  <c r="AH1084"/>
  <c r="AH1005"/>
  <c r="AH1509"/>
  <c r="AH1490"/>
  <c r="AH1302"/>
  <c r="AH1199"/>
  <c r="AH1023"/>
  <c r="AE1687"/>
  <c r="AH1543"/>
  <c r="AH1405"/>
  <c r="X1686"/>
  <c r="AH1681"/>
  <c r="AH1679"/>
  <c r="AH1664"/>
  <c r="AH1658"/>
  <c r="AH1642"/>
  <c r="AH1640"/>
  <c r="AH1550"/>
  <c r="AH1548"/>
  <c r="AH1520"/>
  <c r="AH1518"/>
  <c r="AH1508"/>
  <c r="AH1430"/>
  <c r="AH1414"/>
  <c r="AH1391"/>
  <c r="AH1386"/>
  <c r="AH1380"/>
  <c r="AH1373"/>
  <c r="AH1365"/>
  <c r="AH1363"/>
  <c r="AH1340"/>
  <c r="AH1297"/>
  <c r="AH1295"/>
  <c r="AH1268"/>
  <c r="AH1264"/>
  <c r="AH1247"/>
  <c r="AH1235"/>
  <c r="AH1222"/>
  <c r="AH1218"/>
  <c r="AH1191"/>
  <c r="AH1150"/>
  <c r="AH1145"/>
  <c r="AH1128"/>
  <c r="AH1118"/>
  <c r="AH1105"/>
  <c r="AE1068"/>
  <c r="AH1079"/>
  <c r="AH1077"/>
  <c r="AH1058"/>
  <c r="AH1056"/>
  <c r="AH1016"/>
  <c r="AG984"/>
  <c r="AH954"/>
  <c r="AG897"/>
  <c r="AH910"/>
  <c r="AH1500"/>
  <c r="AH1416"/>
  <c r="AE1355"/>
  <c r="AE1354" s="1"/>
  <c r="AH1345"/>
  <c r="AH1343"/>
  <c r="AH1341"/>
  <c r="AH1325"/>
  <c r="AH1321"/>
  <c r="AH1301"/>
  <c r="AH1292"/>
  <c r="AH1276"/>
  <c r="AH1246"/>
  <c r="AH1231"/>
  <c r="AH1211"/>
  <c r="AH1180"/>
  <c r="AH923"/>
  <c r="AE1158"/>
  <c r="AE1157" s="1"/>
  <c r="AG1159"/>
  <c r="AH1645"/>
  <c r="AG1628"/>
  <c r="AH1628" s="1"/>
  <c r="AH964"/>
  <c r="AH1678"/>
  <c r="AF1514"/>
  <c r="AF1687"/>
  <c r="AH1675"/>
  <c r="AH1603"/>
  <c r="AH1559"/>
  <c r="AH1546"/>
  <c r="AH1457"/>
  <c r="AH1455"/>
  <c r="AH1453"/>
  <c r="AH1451"/>
  <c r="AH1421"/>
  <c r="AH1331"/>
  <c r="AG1330"/>
  <c r="AH1308"/>
  <c r="AH1238"/>
  <c r="AH1234"/>
  <c r="AH1204"/>
  <c r="AH1201"/>
  <c r="AH1179"/>
  <c r="AF1158"/>
  <c r="AF1157" s="1"/>
  <c r="AH1132"/>
  <c r="AH1052"/>
  <c r="AH1039"/>
  <c r="AH904"/>
  <c r="AG903"/>
  <c r="AH903" s="1"/>
  <c r="AH1622"/>
  <c r="X1573"/>
  <c r="AH1554"/>
  <c r="AH1505"/>
  <c r="AH1468"/>
  <c r="AH1442"/>
  <c r="AH1424"/>
  <c r="AH1422"/>
  <c r="AH1418"/>
  <c r="X1412"/>
  <c r="AH1395"/>
  <c r="AH1361"/>
  <c r="X1356"/>
  <c r="AH1344"/>
  <c r="AH1342"/>
  <c r="AH1326"/>
  <c r="AH1324"/>
  <c r="AH1305"/>
  <c r="AH1303"/>
  <c r="AH1237"/>
  <c r="AH1214"/>
  <c r="AH1210"/>
  <c r="AH1202"/>
  <c r="AH1174"/>
  <c r="AG1163"/>
  <c r="AH1151"/>
  <c r="AH1149"/>
  <c r="AH1144"/>
  <c r="AH1133"/>
  <c r="AH1127"/>
  <c r="AH1110"/>
  <c r="AH1108"/>
  <c r="AH1106"/>
  <c r="AH1094"/>
  <c r="AH1080"/>
  <c r="AH1078"/>
  <c r="AH1059"/>
  <c r="AH1057"/>
  <c r="AH956"/>
  <c r="AH928"/>
  <c r="AF893"/>
  <c r="AF892" s="1"/>
  <c r="AF890" s="1"/>
  <c r="AH1665"/>
  <c r="AH1657"/>
  <c r="AG1651"/>
  <c r="AH1644"/>
  <c r="AH1639"/>
  <c r="AH1634"/>
  <c r="AH1625"/>
  <c r="AH1605"/>
  <c r="AH1602"/>
  <c r="AH1586"/>
  <c r="AH1580"/>
  <c r="AH1575"/>
  <c r="AH1556"/>
  <c r="AH1539"/>
  <c r="AH1531"/>
  <c r="AG1528"/>
  <c r="AH1506"/>
  <c r="AH1488"/>
  <c r="AH1476"/>
  <c r="AH1469"/>
  <c r="AH1456"/>
  <c r="AH1449"/>
  <c r="AH1447"/>
  <c r="AH1445"/>
  <c r="AH1443"/>
  <c r="AH1437"/>
  <c r="AH1433"/>
  <c r="X1423"/>
  <c r="X1415"/>
  <c r="AH1410"/>
  <c r="AH1403"/>
  <c r="AH1399"/>
  <c r="AH1378"/>
  <c r="AG1356"/>
  <c r="AF1355"/>
  <c r="AF1354" s="1"/>
  <c r="AH1351"/>
  <c r="AH1315"/>
  <c r="AH1273"/>
  <c r="AH1262"/>
  <c r="AH1260"/>
  <c r="AH1256"/>
  <c r="AH1241"/>
  <c r="AH1221"/>
  <c r="AH1217"/>
  <c r="AH1206"/>
  <c r="AH1177"/>
  <c r="X1167"/>
  <c r="AH1165"/>
  <c r="AH1136"/>
  <c r="AH1116"/>
  <c r="AH1097"/>
  <c r="AH1095"/>
  <c r="AH1071"/>
  <c r="AH1065"/>
  <c r="AH1048"/>
  <c r="AH1044"/>
  <c r="AH1010"/>
  <c r="AH970"/>
  <c r="AH968"/>
  <c r="X965"/>
  <c r="AH932"/>
  <c r="AH929"/>
  <c r="AH918"/>
  <c r="AF1650"/>
  <c r="AE1650"/>
  <c r="AE1648" s="1"/>
  <c r="AD1650"/>
  <c r="AD1648" s="1"/>
  <c r="AD1114"/>
  <c r="AD1113" s="1"/>
  <c r="AD1111" s="1"/>
  <c r="AD1029"/>
  <c r="AD937"/>
  <c r="AD936" s="1"/>
  <c r="AF1288"/>
  <c r="AE1288"/>
  <c r="X1427"/>
  <c r="AG1677"/>
  <c r="AH1673"/>
  <c r="AH1666"/>
  <c r="AH1606"/>
  <c r="X1588"/>
  <c r="AD1514"/>
  <c r="AH1501"/>
  <c r="X1479"/>
  <c r="X1473" s="1"/>
  <c r="AG1467"/>
  <c r="AG1419"/>
  <c r="AH1401"/>
  <c r="X1337"/>
  <c r="X1336" s="1"/>
  <c r="X1103"/>
  <c r="AH1019"/>
  <c r="AG1018"/>
  <c r="X1651"/>
  <c r="X1623"/>
  <c r="X1620"/>
  <c r="AH1616"/>
  <c r="AG1565"/>
  <c r="AH1557"/>
  <c r="AG1423"/>
  <c r="X1419"/>
  <c r="AG1415"/>
  <c r="AD1407"/>
  <c r="AD1406" s="1"/>
  <c r="AH1371"/>
  <c r="AG1364"/>
  <c r="X1360"/>
  <c r="X1355" s="1"/>
  <c r="AH1328"/>
  <c r="AG1327"/>
  <c r="X1134"/>
  <c r="X1125" s="1"/>
  <c r="AH1135"/>
  <c r="X938"/>
  <c r="AH939"/>
  <c r="X1677"/>
  <c r="X1528"/>
  <c r="AH1528" s="1"/>
  <c r="AH1684"/>
  <c r="AH1683"/>
  <c r="AH1680"/>
  <c r="AH1656"/>
  <c r="X1654"/>
  <c r="AH1653"/>
  <c r="X1637"/>
  <c r="X1630" s="1"/>
  <c r="AH1636"/>
  <c r="AD1619"/>
  <c r="AD1617" s="1"/>
  <c r="AH1615"/>
  <c r="AH1611"/>
  <c r="X1604"/>
  <c r="X1596" s="1"/>
  <c r="AH1600"/>
  <c r="AG1594"/>
  <c r="AH1594" s="1"/>
  <c r="AH1593"/>
  <c r="AG1576"/>
  <c r="AH1576" s="1"/>
  <c r="X1565"/>
  <c r="AH1524"/>
  <c r="AH1522"/>
  <c r="AH1507"/>
  <c r="AH1498"/>
  <c r="AH1477"/>
  <c r="AH1452"/>
  <c r="AH1440"/>
  <c r="AG1431"/>
  <c r="AG1427"/>
  <c r="AH1426"/>
  <c r="AH1392"/>
  <c r="X1372"/>
  <c r="X1366" s="1"/>
  <c r="AH1370"/>
  <c r="AH1368"/>
  <c r="AG1360"/>
  <c r="AH1359"/>
  <c r="AD1355"/>
  <c r="AD1354" s="1"/>
  <c r="AH1349"/>
  <c r="AH1347"/>
  <c r="AH1226"/>
  <c r="AG1225"/>
  <c r="X1175"/>
  <c r="X1169" s="1"/>
  <c r="AH1633"/>
  <c r="AH1627"/>
  <c r="AG1623"/>
  <c r="AG1620"/>
  <c r="AH1607"/>
  <c r="AH1601"/>
  <c r="AH1551"/>
  <c r="AH1533"/>
  <c r="AE1514"/>
  <c r="AH1526"/>
  <c r="AH1519"/>
  <c r="AH1517"/>
  <c r="X1515"/>
  <c r="AH1513"/>
  <c r="AH1502"/>
  <c r="X1485"/>
  <c r="X1484" s="1"/>
  <c r="AG1479"/>
  <c r="AG1473" s="1"/>
  <c r="AH1478"/>
  <c r="X1467"/>
  <c r="AG1464"/>
  <c r="AH1454"/>
  <c r="AH1448"/>
  <c r="AH1441"/>
  <c r="AH1439"/>
  <c r="X1435"/>
  <c r="X1431"/>
  <c r="AH1429"/>
  <c r="AH1425"/>
  <c r="AE1407"/>
  <c r="AE1406" s="1"/>
  <c r="AH1417"/>
  <c r="AF1407"/>
  <c r="AF1406" s="1"/>
  <c r="X1408"/>
  <c r="AH1402"/>
  <c r="AH1397"/>
  <c r="AH1394"/>
  <c r="X1385"/>
  <c r="AH1381"/>
  <c r="AH1376"/>
  <c r="X1364"/>
  <c r="AH1362"/>
  <c r="AH1249"/>
  <c r="X1119"/>
  <c r="AH1109"/>
  <c r="X1011"/>
  <c r="AE936"/>
  <c r="AE934" s="1"/>
  <c r="AH1320"/>
  <c r="AD1288"/>
  <c r="AH1266"/>
  <c r="AH1258"/>
  <c r="AH1250"/>
  <c r="AH1236"/>
  <c r="AD1188"/>
  <c r="AH1220"/>
  <c r="AH1212"/>
  <c r="AH1200"/>
  <c r="AH1153"/>
  <c r="AH1147"/>
  <c r="AH1141"/>
  <c r="AH1131"/>
  <c r="AH1129"/>
  <c r="AH1121"/>
  <c r="X1115"/>
  <c r="AH1100"/>
  <c r="AH1093"/>
  <c r="AH1091"/>
  <c r="AH1083"/>
  <c r="AH1081"/>
  <c r="AH1075"/>
  <c r="AH1060"/>
  <c r="X1053"/>
  <c r="X1043" s="1"/>
  <c r="AH1050"/>
  <c r="AH1045"/>
  <c r="X1030"/>
  <c r="AH1022"/>
  <c r="AH1020"/>
  <c r="X1018"/>
  <c r="X1013" s="1"/>
  <c r="AH1012"/>
  <c r="AG1011"/>
  <c r="AH1008"/>
  <c r="AH1006"/>
  <c r="AH969"/>
  <c r="AH963"/>
  <c r="AH960"/>
  <c r="AF937"/>
  <c r="AF936" s="1"/>
  <c r="AF934" s="1"/>
  <c r="AH933"/>
  <c r="AH931"/>
  <c r="AH927"/>
  <c r="AH924"/>
  <c r="AH916"/>
  <c r="AH911"/>
  <c r="AH908"/>
  <c r="AE893"/>
  <c r="AE892" s="1"/>
  <c r="AE890" s="1"/>
  <c r="AH1329"/>
  <c r="AH1306"/>
  <c r="AH1298"/>
  <c r="AH1267"/>
  <c r="AH1259"/>
  <c r="AH1251"/>
  <c r="AE1188"/>
  <c r="X1163"/>
  <c r="X991"/>
  <c r="X986" s="1"/>
  <c r="AG894"/>
  <c r="AD893"/>
  <c r="AD892" s="1"/>
  <c r="AD890" s="1"/>
  <c r="AH1317"/>
  <c r="AH1307"/>
  <c r="AH1299"/>
  <c r="AD1228"/>
  <c r="AH1224"/>
  <c r="AH1216"/>
  <c r="AH1205"/>
  <c r="AH1168"/>
  <c r="AG1167"/>
  <c r="AH1162"/>
  <c r="AD1158"/>
  <c r="AD1157" s="1"/>
  <c r="AH1154"/>
  <c r="AH1152"/>
  <c r="AH1142"/>
  <c r="AH1140"/>
  <c r="AH1130"/>
  <c r="AG1119"/>
  <c r="AH1099"/>
  <c r="AH1092"/>
  <c r="X1085"/>
  <c r="X1069" s="1"/>
  <c r="AH1082"/>
  <c r="X1063"/>
  <c r="AH1051"/>
  <c r="AH1038"/>
  <c r="AH1034"/>
  <c r="AG1007"/>
  <c r="AD1003"/>
  <c r="AD1002" s="1"/>
  <c r="AD1000" s="1"/>
  <c r="X980"/>
  <c r="AH973"/>
  <c r="AH957"/>
  <c r="AH955"/>
  <c r="AH919"/>
  <c r="AG1659"/>
  <c r="AH1659" s="1"/>
  <c r="AH1660"/>
  <c r="X1668"/>
  <c r="X1661" s="1"/>
  <c r="AH1669"/>
  <c r="AH1662"/>
  <c r="AF1462"/>
  <c r="AH1670"/>
  <c r="AG1668"/>
  <c r="AH1663"/>
  <c r="AF1648"/>
  <c r="AH1471"/>
  <c r="AE1462"/>
  <c r="AH1646"/>
  <c r="AG1604"/>
  <c r="AG1654"/>
  <c r="AH1652"/>
  <c r="AH1574"/>
  <c r="AH1409"/>
  <c r="AG1408"/>
  <c r="AH1387"/>
  <c r="AH1374"/>
  <c r="AH1367"/>
  <c r="AH1357"/>
  <c r="AH1314"/>
  <c r="AG1312"/>
  <c r="X1289"/>
  <c r="AH1290"/>
  <c r="AH1243"/>
  <c r="AG1240"/>
  <c r="AH1233"/>
  <c r="AG1230"/>
  <c r="AE1228"/>
  <c r="X1208"/>
  <c r="AF1188"/>
  <c r="X1189"/>
  <c r="AH1014"/>
  <c r="AE1003"/>
  <c r="AG1004"/>
  <c r="AG1637"/>
  <c r="AH1637" s="1"/>
  <c r="AG1372"/>
  <c r="X1312"/>
  <c r="AH1313"/>
  <c r="AG1274"/>
  <c r="AH1275"/>
  <c r="X1240"/>
  <c r="X1239" s="1"/>
  <c r="AH1242"/>
  <c r="X1230"/>
  <c r="X1229" s="1"/>
  <c r="AH1232"/>
  <c r="X1225"/>
  <c r="AH1227"/>
  <c r="AH1138"/>
  <c r="AG1134"/>
  <c r="AF1068"/>
  <c r="AH1073"/>
  <c r="AH1647"/>
  <c r="AH1529"/>
  <c r="AH1480"/>
  <c r="AH1474"/>
  <c r="AH1472"/>
  <c r="AH1436"/>
  <c r="AH1428"/>
  <c r="AH1420"/>
  <c r="AH1346"/>
  <c r="AG1337"/>
  <c r="AH1338"/>
  <c r="AG1335"/>
  <c r="AH1291"/>
  <c r="AG1289"/>
  <c r="X1274"/>
  <c r="AD1028"/>
  <c r="AD1026" s="1"/>
  <c r="AD1584"/>
  <c r="AD1583" s="1"/>
  <c r="AD1581" s="1"/>
  <c r="AG1515"/>
  <c r="AG1485"/>
  <c r="AG1385"/>
  <c r="AF1228"/>
  <c r="AH1624"/>
  <c r="AH1621"/>
  <c r="AH1597"/>
  <c r="AH1589"/>
  <c r="AH1465"/>
  <c r="AH1413"/>
  <c r="X1335"/>
  <c r="X1327"/>
  <c r="X1284"/>
  <c r="AH1285"/>
  <c r="AG1208"/>
  <c r="AH1209"/>
  <c r="AG1189"/>
  <c r="AH1190"/>
  <c r="AG1175"/>
  <c r="AH1175" s="1"/>
  <c r="AH1176"/>
  <c r="AG1123"/>
  <c r="AH1123" s="1"/>
  <c r="AH1124"/>
  <c r="AG1053"/>
  <c r="AH1054"/>
  <c r="AH909"/>
  <c r="X1159"/>
  <c r="AG1103"/>
  <c r="AH1104"/>
  <c r="AG1085"/>
  <c r="AH1086"/>
  <c r="AH1181"/>
  <c r="AH1172"/>
  <c r="AH1166"/>
  <c r="AG1115"/>
  <c r="AH1107"/>
  <c r="AH1096"/>
  <c r="AG1063"/>
  <c r="AG946"/>
  <c r="AH946" s="1"/>
  <c r="AH947"/>
  <c r="X942"/>
  <c r="AH943"/>
  <c r="AH941"/>
  <c r="AG938"/>
  <c r="AH1064"/>
  <c r="AH1049"/>
  <c r="AG1035"/>
  <c r="AF1028"/>
  <c r="AH1015"/>
  <c r="X1004"/>
  <c r="AG977"/>
  <c r="AE976"/>
  <c r="AG965"/>
  <c r="AG952"/>
  <c r="AG948" s="1"/>
  <c r="AH953"/>
  <c r="AH949"/>
  <c r="AH944"/>
  <c r="AG942"/>
  <c r="AH926"/>
  <c r="X925"/>
  <c r="AH925" s="1"/>
  <c r="AH914"/>
  <c r="X912"/>
  <c r="X905" s="1"/>
  <c r="AH1126"/>
  <c r="AH1120"/>
  <c r="X1035"/>
  <c r="AE1028"/>
  <c r="AG1024"/>
  <c r="AH1024" s="1"/>
  <c r="AH1025"/>
  <c r="X1007"/>
  <c r="X984"/>
  <c r="AH950"/>
  <c r="AG912"/>
  <c r="X897"/>
  <c r="AH899"/>
  <c r="X894"/>
  <c r="AH896"/>
  <c r="AG1030"/>
  <c r="AH1031"/>
  <c r="AG991"/>
  <c r="AG986" s="1"/>
  <c r="AD976"/>
  <c r="AD975" s="1"/>
  <c r="AD974" s="1"/>
  <c r="AG980"/>
  <c r="X952"/>
  <c r="X948" s="1"/>
  <c r="AH1042"/>
  <c r="AH1036"/>
  <c r="AH913"/>
  <c r="AH898"/>
  <c r="AH895"/>
  <c r="X977"/>
  <c r="AH1327" l="1"/>
  <c r="AH1620"/>
  <c r="AH1623"/>
  <c r="AH1573"/>
  <c r="X1158"/>
  <c r="X1157" s="1"/>
  <c r="AH1654"/>
  <c r="AH1427"/>
  <c r="AH1435"/>
  <c r="AH1011"/>
  <c r="AH1103"/>
  <c r="AH1686"/>
  <c r="AH1651"/>
  <c r="AG893"/>
  <c r="AH1464"/>
  <c r="X1068"/>
  <c r="X1463"/>
  <c r="X1462" s="1"/>
  <c r="AH1163"/>
  <c r="AG1158"/>
  <c r="AH1431"/>
  <c r="AG1355"/>
  <c r="AH1355" s="1"/>
  <c r="AH1356"/>
  <c r="AH1588"/>
  <c r="AH1007"/>
  <c r="AH1330"/>
  <c r="AH1372"/>
  <c r="AE1155"/>
  <c r="AE1026"/>
  <c r="AH1412"/>
  <c r="AH1085"/>
  <c r="AF1460"/>
  <c r="X1650"/>
  <c r="X1648" s="1"/>
  <c r="AH1279"/>
  <c r="AH942"/>
  <c r="X937"/>
  <c r="X936" s="1"/>
  <c r="X934" s="1"/>
  <c r="AH1423"/>
  <c r="AH1467"/>
  <c r="X1029"/>
  <c r="X1028" s="1"/>
  <c r="AH1284"/>
  <c r="X1114"/>
  <c r="X1113" s="1"/>
  <c r="X1111" s="1"/>
  <c r="X1584"/>
  <c r="X1583" s="1"/>
  <c r="X1581" s="1"/>
  <c r="AD1460"/>
  <c r="AH897"/>
  <c r="AH965"/>
  <c r="AH1208"/>
  <c r="AF1352"/>
  <c r="AH1415"/>
  <c r="AD934"/>
  <c r="AD1352"/>
  <c r="AG1463"/>
  <c r="AH1134"/>
  <c r="AH1225"/>
  <c r="X976"/>
  <c r="X975" s="1"/>
  <c r="AH912"/>
  <c r="AF1026"/>
  <c r="AH1604"/>
  <c r="AE1460"/>
  <c r="AH1167"/>
  <c r="X1407"/>
  <c r="X1406" s="1"/>
  <c r="AH1360"/>
  <c r="AH1018"/>
  <c r="AH948"/>
  <c r="AH1668"/>
  <c r="AH1473"/>
  <c r="AG1013"/>
  <c r="AH1013" s="1"/>
  <c r="AD1155"/>
  <c r="AG1619"/>
  <c r="X1619"/>
  <c r="X1617" s="1"/>
  <c r="X1514"/>
  <c r="AH1419"/>
  <c r="X1354"/>
  <c r="AH1364"/>
  <c r="AH1063"/>
  <c r="AF1155"/>
  <c r="AG1169"/>
  <c r="AH1169" s="1"/>
  <c r="AH1385"/>
  <c r="AG1630"/>
  <c r="AH1630" s="1"/>
  <c r="AE1352"/>
  <c r="AH1479"/>
  <c r="AH1119"/>
  <c r="AH1677"/>
  <c r="AH1485"/>
  <c r="AG1484"/>
  <c r="AH1484" s="1"/>
  <c r="X1188"/>
  <c r="AH1030"/>
  <c r="AG1029"/>
  <c r="X893"/>
  <c r="X892" s="1"/>
  <c r="X890" s="1"/>
  <c r="AH894"/>
  <c r="AG976"/>
  <c r="AG975" s="1"/>
  <c r="AG974" s="1"/>
  <c r="AH1035"/>
  <c r="AH1189"/>
  <c r="AG1188"/>
  <c r="AH1515"/>
  <c r="AG1514"/>
  <c r="AH1335"/>
  <c r="AG1069"/>
  <c r="X1288"/>
  <c r="AH938"/>
  <c r="AG937"/>
  <c r="AH952"/>
  <c r="X1003"/>
  <c r="X1002" s="1"/>
  <c r="X1000" s="1"/>
  <c r="AH1115"/>
  <c r="AG1114"/>
  <c r="AH1159"/>
  <c r="AG905"/>
  <c r="AH905" s="1"/>
  <c r="AG1125"/>
  <c r="AH1125" s="1"/>
  <c r="X1228"/>
  <c r="AH1274"/>
  <c r="AG1239"/>
  <c r="AH1239" s="1"/>
  <c r="AH1240"/>
  <c r="AH1312"/>
  <c r="AG1366"/>
  <c r="AH1366" s="1"/>
  <c r="AG1407"/>
  <c r="AH1408"/>
  <c r="AG1661"/>
  <c r="AH1661" s="1"/>
  <c r="AG1229"/>
  <c r="AH1230"/>
  <c r="AH1053"/>
  <c r="AG1043"/>
  <c r="AH1043" s="1"/>
  <c r="AH1289"/>
  <c r="AG1288"/>
  <c r="AH1337"/>
  <c r="AG1336"/>
  <c r="AH1336" s="1"/>
  <c r="AH1004"/>
  <c r="AG1003"/>
  <c r="AG1596"/>
  <c r="AH1596" s="1"/>
  <c r="AG1650"/>
  <c r="AH1158" l="1"/>
  <c r="AH1463"/>
  <c r="AH1584"/>
  <c r="AH1514"/>
  <c r="X1026"/>
  <c r="AH1288"/>
  <c r="AD1685"/>
  <c r="AD1687" s="1"/>
  <c r="X1352"/>
  <c r="AG1617"/>
  <c r="AH1617" s="1"/>
  <c r="AH1619"/>
  <c r="X1460"/>
  <c r="AH893"/>
  <c r="X974"/>
  <c r="AH1188"/>
  <c r="AG1462"/>
  <c r="AG1460" s="1"/>
  <c r="AH1460" s="1"/>
  <c r="AG892"/>
  <c r="AG890" s="1"/>
  <c r="AG1157"/>
  <c r="AH1157" s="1"/>
  <c r="X1155"/>
  <c r="AG1406"/>
  <c r="AH1406" s="1"/>
  <c r="AH1407"/>
  <c r="AH1003"/>
  <c r="AG1002"/>
  <c r="AH937"/>
  <c r="AG936"/>
  <c r="AG1354"/>
  <c r="AH1650"/>
  <c r="AG1648"/>
  <c r="AH1648" s="1"/>
  <c r="AH1229"/>
  <c r="AG1228"/>
  <c r="AH1228" s="1"/>
  <c r="AG1583"/>
  <c r="AH1114"/>
  <c r="AG1113"/>
  <c r="AH1069"/>
  <c r="AG1068"/>
  <c r="AH1068" s="1"/>
  <c r="AH1029"/>
  <c r="AG1028"/>
  <c r="X1685" l="1"/>
  <c r="X1687" s="1"/>
  <c r="AH892"/>
  <c r="AH1462"/>
  <c r="AG1155"/>
  <c r="AH1155" s="1"/>
  <c r="AH1113"/>
  <c r="AG1111"/>
  <c r="AH1111" s="1"/>
  <c r="AH936"/>
  <c r="AG934"/>
  <c r="AH934" s="1"/>
  <c r="AH1583"/>
  <c r="AG1581"/>
  <c r="AH1581" s="1"/>
  <c r="AG1026"/>
  <c r="AH1026" s="1"/>
  <c r="AH1028"/>
  <c r="AH890"/>
  <c r="AG1352"/>
  <c r="AH1352" s="1"/>
  <c r="AH1354"/>
  <c r="AH1002"/>
  <c r="AG1000"/>
  <c r="AH1000" s="1"/>
  <c r="AG1685" l="1"/>
  <c r="AG1687" l="1"/>
  <c r="AH1687" s="1"/>
  <c r="AH1685"/>
  <c r="K15" i="18" l="1"/>
  <c r="K16"/>
  <c r="K17"/>
  <c r="K18"/>
  <c r="K19"/>
  <c r="K14"/>
  <c r="I5"/>
  <c r="I4" s="1"/>
  <c r="H36"/>
  <c r="H35"/>
  <c r="H34"/>
  <c r="H33"/>
  <c r="H32"/>
  <c r="H31"/>
  <c r="H30"/>
  <c r="H29"/>
  <c r="H28"/>
  <c r="H27"/>
  <c r="H26"/>
  <c r="H25"/>
  <c r="H24"/>
  <c r="H23"/>
  <c r="H22"/>
  <c r="H21"/>
  <c r="H20"/>
  <c r="K13"/>
  <c r="K12"/>
  <c r="K11"/>
  <c r="K10"/>
  <c r="K9"/>
  <c r="K8"/>
  <c r="K7"/>
  <c r="K6"/>
  <c r="J5"/>
  <c r="J4" s="1"/>
  <c r="G5"/>
  <c r="G4" s="1"/>
  <c r="F5"/>
  <c r="F4" s="1"/>
  <c r="E5"/>
  <c r="E4" s="1"/>
  <c r="K5" l="1"/>
  <c r="K4" s="1"/>
  <c r="H5"/>
  <c r="H4" s="1"/>
  <c r="G16" i="1" l="1"/>
  <c r="G12"/>
  <c r="G13"/>
  <c r="G11"/>
  <c r="G10"/>
  <c r="G6"/>
  <c r="G5"/>
  <c r="G4"/>
  <c r="G3"/>
  <c r="G2"/>
  <c r="AP21" i="3" l="1"/>
  <c r="AP19"/>
  <c r="AP17"/>
  <c r="AP15"/>
  <c r="AP14"/>
  <c r="AP13"/>
  <c r="AP9"/>
  <c r="AP7"/>
  <c r="F21" i="1" l="1"/>
  <c r="F18"/>
  <c r="H20" l="1"/>
  <c r="E18"/>
  <c r="H16"/>
  <c r="I17" s="1"/>
  <c r="H14"/>
  <c r="H13"/>
  <c r="H12"/>
  <c r="H11"/>
  <c r="H10"/>
  <c r="AB112" i="2" l="1"/>
  <c r="AP33" i="3" l="1"/>
  <c r="AP31"/>
  <c r="F25" i="5" l="1"/>
  <c r="G25"/>
  <c r="J14"/>
  <c r="C24"/>
  <c r="J15"/>
  <c r="AP43" i="3"/>
  <c r="E4" i="1"/>
  <c r="C24" i="6" l="1"/>
  <c r="D24"/>
  <c r="E24"/>
  <c r="F24"/>
  <c r="G24"/>
  <c r="H24"/>
  <c r="I24"/>
  <c r="B24"/>
  <c r="J3"/>
  <c r="J4"/>
  <c r="J5"/>
  <c r="J6"/>
  <c r="J7"/>
  <c r="J8"/>
  <c r="J9"/>
  <c r="J10"/>
  <c r="J11"/>
  <c r="J12"/>
  <c r="J13"/>
  <c r="J14"/>
  <c r="J15"/>
  <c r="L15" s="1"/>
  <c r="J16"/>
  <c r="J17"/>
  <c r="J18"/>
  <c r="J19"/>
  <c r="J20"/>
  <c r="J21"/>
  <c r="J22"/>
  <c r="J23"/>
  <c r="J2"/>
  <c r="G3" i="5"/>
  <c r="G4"/>
  <c r="G5"/>
  <c r="G6"/>
  <c r="G7"/>
  <c r="G8"/>
  <c r="G9"/>
  <c r="G10"/>
  <c r="G11"/>
  <c r="G12"/>
  <c r="G13"/>
  <c r="G15"/>
  <c r="G16"/>
  <c r="G17"/>
  <c r="G18"/>
  <c r="G19"/>
  <c r="G21"/>
  <c r="G22"/>
  <c r="G2"/>
  <c r="F24"/>
  <c r="D23"/>
  <c r="G23" s="1"/>
  <c r="E20"/>
  <c r="E24" s="1"/>
  <c r="D14"/>
  <c r="G14" s="1"/>
  <c r="F27" l="1"/>
  <c r="G20"/>
  <c r="D24"/>
  <c r="J24" i="6"/>
  <c r="B24" i="5"/>
  <c r="C27" l="1"/>
  <c r="G24"/>
  <c r="G26" s="1"/>
  <c r="J25" i="6" l="1"/>
  <c r="J26" s="1"/>
  <c r="J530" i="4"/>
  <c r="I530"/>
  <c r="K527"/>
  <c r="J527"/>
  <c r="I527"/>
  <c r="H527"/>
  <c r="K518"/>
  <c r="K511" s="1"/>
  <c r="J518"/>
  <c r="J511" s="1"/>
  <c r="I518"/>
  <c r="I511" s="1"/>
  <c r="H518"/>
  <c r="H511" s="1"/>
  <c r="K509"/>
  <c r="J509"/>
  <c r="I509"/>
  <c r="H509"/>
  <c r="K504"/>
  <c r="J504"/>
  <c r="I504"/>
  <c r="H504"/>
  <c r="K501"/>
  <c r="J501"/>
  <c r="I501"/>
  <c r="H501"/>
  <c r="K496"/>
  <c r="J496"/>
  <c r="I496"/>
  <c r="H496"/>
  <c r="K487"/>
  <c r="K480" s="1"/>
  <c r="J487"/>
  <c r="I487"/>
  <c r="H487"/>
  <c r="H480" s="1"/>
  <c r="BF484"/>
  <c r="BF482"/>
  <c r="BF481"/>
  <c r="BF480"/>
  <c r="K478"/>
  <c r="H478"/>
  <c r="K473"/>
  <c r="H473"/>
  <c r="K470"/>
  <c r="H470"/>
  <c r="J467"/>
  <c r="I467"/>
  <c r="K465"/>
  <c r="J465"/>
  <c r="I465"/>
  <c r="H465"/>
  <c r="K456"/>
  <c r="K448" s="1"/>
  <c r="J456"/>
  <c r="J448" s="1"/>
  <c r="I456"/>
  <c r="I448" s="1"/>
  <c r="H456"/>
  <c r="H448" s="1"/>
  <c r="K446"/>
  <c r="J446"/>
  <c r="I446"/>
  <c r="H446"/>
  <c r="K442"/>
  <c r="J442"/>
  <c r="I442"/>
  <c r="H442"/>
  <c r="K439"/>
  <c r="H439"/>
  <c r="J438"/>
  <c r="I438"/>
  <c r="J435"/>
  <c r="I435"/>
  <c r="K434"/>
  <c r="K429"/>
  <c r="J429"/>
  <c r="I429"/>
  <c r="H429"/>
  <c r="K428"/>
  <c r="K427"/>
  <c r="J426"/>
  <c r="I426"/>
  <c r="H426"/>
  <c r="K423"/>
  <c r="K422"/>
  <c r="K420"/>
  <c r="K419"/>
  <c r="K413"/>
  <c r="K412"/>
  <c r="K411"/>
  <c r="K410"/>
  <c r="J410"/>
  <c r="I410"/>
  <c r="H410"/>
  <c r="J401"/>
  <c r="I401"/>
  <c r="H401"/>
  <c r="K400"/>
  <c r="J400"/>
  <c r="I400"/>
  <c r="H400"/>
  <c r="K399"/>
  <c r="K398"/>
  <c r="K397"/>
  <c r="K395" s="1"/>
  <c r="K389" s="1"/>
  <c r="J395"/>
  <c r="J389" s="1"/>
  <c r="I395"/>
  <c r="I389" s="1"/>
  <c r="H395"/>
  <c r="H389" s="1"/>
  <c r="K387"/>
  <c r="J387"/>
  <c r="I387"/>
  <c r="H387"/>
  <c r="K383"/>
  <c r="J383"/>
  <c r="I383"/>
  <c r="H383"/>
  <c r="K380"/>
  <c r="J380"/>
  <c r="J379" s="1"/>
  <c r="I380"/>
  <c r="I379" s="1"/>
  <c r="H380"/>
  <c r="K376"/>
  <c r="J376"/>
  <c r="I376"/>
  <c r="H376"/>
  <c r="K375"/>
  <c r="J374"/>
  <c r="I374"/>
  <c r="H374"/>
  <c r="K364"/>
  <c r="J364"/>
  <c r="I364"/>
  <c r="H364"/>
  <c r="K361"/>
  <c r="J361"/>
  <c r="I361"/>
  <c r="H361"/>
  <c r="K358"/>
  <c r="J358"/>
  <c r="I358"/>
  <c r="H358"/>
  <c r="K354"/>
  <c r="J354"/>
  <c r="I354"/>
  <c r="H354"/>
  <c r="K350"/>
  <c r="J350"/>
  <c r="I350"/>
  <c r="H350"/>
  <c r="K347"/>
  <c r="J347"/>
  <c r="I347"/>
  <c r="H347"/>
  <c r="K344"/>
  <c r="J344"/>
  <c r="I344"/>
  <c r="H344"/>
  <c r="K341"/>
  <c r="J341"/>
  <c r="I341"/>
  <c r="H341"/>
  <c r="J339"/>
  <c r="I339"/>
  <c r="K337"/>
  <c r="K335"/>
  <c r="K334"/>
  <c r="K332"/>
  <c r="J331"/>
  <c r="I331"/>
  <c r="H331"/>
  <c r="J322"/>
  <c r="J316" s="1"/>
  <c r="I322"/>
  <c r="I316" s="1"/>
  <c r="H322"/>
  <c r="H316" s="1"/>
  <c r="J314"/>
  <c r="I314"/>
  <c r="H314"/>
  <c r="J310"/>
  <c r="I310"/>
  <c r="H310"/>
  <c r="J307"/>
  <c r="I307"/>
  <c r="H307"/>
  <c r="J302"/>
  <c r="I302"/>
  <c r="H302"/>
  <c r="K302" s="1"/>
  <c r="BF300"/>
  <c r="K301"/>
  <c r="J301"/>
  <c r="J300" s="1"/>
  <c r="I301"/>
  <c r="I300" s="1"/>
  <c r="H301"/>
  <c r="H300" s="1"/>
  <c r="K298"/>
  <c r="H298"/>
  <c r="H288" s="1"/>
  <c r="K294" s="1"/>
  <c r="K293"/>
  <c r="K291"/>
  <c r="K289"/>
  <c r="K288"/>
  <c r="K287" s="1"/>
  <c r="J288"/>
  <c r="I288"/>
  <c r="J287"/>
  <c r="I287"/>
  <c r="H287"/>
  <c r="K286"/>
  <c r="K285"/>
  <c r="K284"/>
  <c r="K283"/>
  <c r="K282"/>
  <c r="J282"/>
  <c r="I282"/>
  <c r="H282"/>
  <c r="BF280"/>
  <c r="K281"/>
  <c r="J281"/>
  <c r="I281"/>
  <c r="H281"/>
  <c r="K277"/>
  <c r="J277"/>
  <c r="BF272" s="1"/>
  <c r="I277"/>
  <c r="H277"/>
  <c r="K276"/>
  <c r="J276"/>
  <c r="BF271" s="1"/>
  <c r="I276"/>
  <c r="H276"/>
  <c r="BF273"/>
  <c r="K274"/>
  <c r="K273"/>
  <c r="K272"/>
  <c r="BF270"/>
  <c r="K271"/>
  <c r="BF269"/>
  <c r="K270"/>
  <c r="BF268"/>
  <c r="K269"/>
  <c r="J268"/>
  <c r="I268"/>
  <c r="I262" s="1"/>
  <c r="H268"/>
  <c r="H262" s="1"/>
  <c r="BF266"/>
  <c r="K267"/>
  <c r="BF265"/>
  <c r="K266"/>
  <c r="K265"/>
  <c r="BF263"/>
  <c r="K264"/>
  <c r="BF262"/>
  <c r="K263"/>
  <c r="BF260"/>
  <c r="K261"/>
  <c r="J260"/>
  <c r="BF256" s="1"/>
  <c r="I260"/>
  <c r="H260"/>
  <c r="K259"/>
  <c r="BF257"/>
  <c r="K258"/>
  <c r="K257"/>
  <c r="J256"/>
  <c r="I256"/>
  <c r="H256"/>
  <c r="BF254"/>
  <c r="K255"/>
  <c r="BF253"/>
  <c r="K254"/>
  <c r="J253"/>
  <c r="BF249" s="1"/>
  <c r="I253"/>
  <c r="H253"/>
  <c r="K249"/>
  <c r="K248"/>
  <c r="K247"/>
  <c r="BF244"/>
  <c r="K245"/>
  <c r="BF243"/>
  <c r="BF242"/>
  <c r="K243"/>
  <c r="BF241"/>
  <c r="K242"/>
  <c r="BF240"/>
  <c r="K241"/>
  <c r="BF239"/>
  <c r="K240"/>
  <c r="BF238"/>
  <c r="K239"/>
  <c r="BF237"/>
  <c r="K238"/>
  <c r="BF236"/>
  <c r="K237"/>
  <c r="BF235"/>
  <c r="K236"/>
  <c r="BF234"/>
  <c r="K235"/>
  <c r="BF233"/>
  <c r="K234"/>
  <c r="BF232"/>
  <c r="K233"/>
  <c r="J232"/>
  <c r="J223" s="1"/>
  <c r="I232"/>
  <c r="I223" s="1"/>
  <c r="H232"/>
  <c r="H223" s="1"/>
  <c r="BF230"/>
  <c r="K231"/>
  <c r="BF229"/>
  <c r="K230"/>
  <c r="BF228"/>
  <c r="K229"/>
  <c r="BF227"/>
  <c r="K228"/>
  <c r="BF226"/>
  <c r="K227"/>
  <c r="BF225"/>
  <c r="K226"/>
  <c r="BF224"/>
  <c r="K225"/>
  <c r="BF223"/>
  <c r="K224"/>
  <c r="K222"/>
  <c r="K221" s="1"/>
  <c r="J221"/>
  <c r="I221"/>
  <c r="H221"/>
  <c r="BF219"/>
  <c r="K220"/>
  <c r="BF218"/>
  <c r="K219"/>
  <c r="BF217"/>
  <c r="K218"/>
  <c r="J217"/>
  <c r="I217"/>
  <c r="H217"/>
  <c r="BF215"/>
  <c r="K216"/>
  <c r="BF214"/>
  <c r="K215"/>
  <c r="J214"/>
  <c r="I214"/>
  <c r="H214"/>
  <c r="J210"/>
  <c r="I210"/>
  <c r="H210"/>
  <c r="K209"/>
  <c r="K208"/>
  <c r="K207"/>
  <c r="K206"/>
  <c r="K205"/>
  <c r="K204"/>
  <c r="K203"/>
  <c r="J202"/>
  <c r="I202"/>
  <c r="H202"/>
  <c r="K201"/>
  <c r="K200"/>
  <c r="K199"/>
  <c r="K198"/>
  <c r="K197"/>
  <c r="K196"/>
  <c r="K195"/>
  <c r="K194"/>
  <c r="K193"/>
  <c r="K192"/>
  <c r="K191"/>
  <c r="K189"/>
  <c r="K188"/>
  <c r="K186"/>
  <c r="J185"/>
  <c r="J170" s="1"/>
  <c r="I185"/>
  <c r="I170" s="1"/>
  <c r="H185"/>
  <c r="H170" s="1"/>
  <c r="K184"/>
  <c r="K183"/>
  <c r="K182"/>
  <c r="K181"/>
  <c r="K180"/>
  <c r="K179"/>
  <c r="K178"/>
  <c r="K176"/>
  <c r="K175"/>
  <c r="K174"/>
  <c r="K173"/>
  <c r="K172"/>
  <c r="K171"/>
  <c r="BF167"/>
  <c r="K166"/>
  <c r="K165"/>
  <c r="K163"/>
  <c r="J162"/>
  <c r="I162"/>
  <c r="H162"/>
  <c r="BF161"/>
  <c r="K161"/>
  <c r="BF160"/>
  <c r="K160"/>
  <c r="BF159"/>
  <c r="K159"/>
  <c r="BF158"/>
  <c r="K158"/>
  <c r="BF157"/>
  <c r="K157"/>
  <c r="BF156"/>
  <c r="K156"/>
  <c r="K155"/>
  <c r="BF154"/>
  <c r="K154"/>
  <c r="J153"/>
  <c r="J143" s="1"/>
  <c r="I153"/>
  <c r="I143" s="1"/>
  <c r="H153"/>
  <c r="H143" s="1"/>
  <c r="BF152"/>
  <c r="K152"/>
  <c r="BF151"/>
  <c r="K151"/>
  <c r="BF150"/>
  <c r="K150"/>
  <c r="BF149"/>
  <c r="K149"/>
  <c r="BF148"/>
  <c r="K148"/>
  <c r="BF147"/>
  <c r="K147"/>
  <c r="BF146"/>
  <c r="K146"/>
  <c r="BF145"/>
  <c r="K145"/>
  <c r="BF144"/>
  <c r="K144"/>
  <c r="K142"/>
  <c r="K141" s="1"/>
  <c r="J141"/>
  <c r="I141"/>
  <c r="H141"/>
  <c r="BF140"/>
  <c r="K140"/>
  <c r="BF139"/>
  <c r="K139"/>
  <c r="BF138"/>
  <c r="K138"/>
  <c r="BF137"/>
  <c r="K137"/>
  <c r="BF136"/>
  <c r="K136"/>
  <c r="J135"/>
  <c r="I135"/>
  <c r="H135"/>
  <c r="BF134"/>
  <c r="K134"/>
  <c r="BF133"/>
  <c r="K133"/>
  <c r="J132"/>
  <c r="J131" s="1"/>
  <c r="I132"/>
  <c r="I131" s="1"/>
  <c r="H132"/>
  <c r="K130"/>
  <c r="K128" s="1"/>
  <c r="H130"/>
  <c r="H128" s="1"/>
  <c r="K127"/>
  <c r="K126" s="1"/>
  <c r="J126"/>
  <c r="I126"/>
  <c r="H126"/>
  <c r="BF125"/>
  <c r="K125"/>
  <c r="BF124"/>
  <c r="K124"/>
  <c r="BF123"/>
  <c r="K123"/>
  <c r="BF122"/>
  <c r="K122"/>
  <c r="BF121"/>
  <c r="K121"/>
  <c r="J120"/>
  <c r="J115" s="1"/>
  <c r="I120"/>
  <c r="I115" s="1"/>
  <c r="H120"/>
  <c r="H115" s="1"/>
  <c r="BF119"/>
  <c r="K119"/>
  <c r="BF118"/>
  <c r="K118"/>
  <c r="BF117"/>
  <c r="K117"/>
  <c r="BF116"/>
  <c r="K116"/>
  <c r="BF114"/>
  <c r="K114"/>
  <c r="J113"/>
  <c r="I113"/>
  <c r="H113"/>
  <c r="BF112"/>
  <c r="K112"/>
  <c r="BF111"/>
  <c r="K111"/>
  <c r="BF110"/>
  <c r="K110"/>
  <c r="J109"/>
  <c r="I109"/>
  <c r="H109"/>
  <c r="K108"/>
  <c r="K107"/>
  <c r="J106"/>
  <c r="J105" s="1"/>
  <c r="I106"/>
  <c r="I105" s="1"/>
  <c r="H106"/>
  <c r="J102"/>
  <c r="I102"/>
  <c r="BF101"/>
  <c r="K101"/>
  <c r="BF100"/>
  <c r="K100"/>
  <c r="BF98"/>
  <c r="K98"/>
  <c r="BF97"/>
  <c r="K97"/>
  <c r="J96"/>
  <c r="J91" s="1"/>
  <c r="J78" s="1"/>
  <c r="I96"/>
  <c r="I91" s="1"/>
  <c r="I78" s="1"/>
  <c r="H96"/>
  <c r="H91" s="1"/>
  <c r="BF95"/>
  <c r="K95"/>
  <c r="BF94"/>
  <c r="K94"/>
  <c r="BF93"/>
  <c r="K93"/>
  <c r="BF92"/>
  <c r="K92"/>
  <c r="BF90"/>
  <c r="K90"/>
  <c r="J89"/>
  <c r="I89"/>
  <c r="H89"/>
  <c r="BF88"/>
  <c r="K88"/>
  <c r="BF87"/>
  <c r="K87"/>
  <c r="K86"/>
  <c r="J85"/>
  <c r="I85"/>
  <c r="H85"/>
  <c r="BF84"/>
  <c r="K84"/>
  <c r="BF83"/>
  <c r="K83"/>
  <c r="J82"/>
  <c r="J81" s="1"/>
  <c r="I82"/>
  <c r="I81" s="1"/>
  <c r="H82"/>
  <c r="K80"/>
  <c r="H80"/>
  <c r="BF77"/>
  <c r="K77"/>
  <c r="K76"/>
  <c r="BF75"/>
  <c r="K75"/>
  <c r="BF74"/>
  <c r="K74"/>
  <c r="BF73"/>
  <c r="K73"/>
  <c r="J72"/>
  <c r="I72"/>
  <c r="H72"/>
  <c r="BF71"/>
  <c r="K71"/>
  <c r="BF70"/>
  <c r="K70"/>
  <c r="BF69"/>
  <c r="K69"/>
  <c r="BF68"/>
  <c r="K68"/>
  <c r="BF67"/>
  <c r="K67"/>
  <c r="BF66"/>
  <c r="K66"/>
  <c r="BF65"/>
  <c r="K65"/>
  <c r="BF64"/>
  <c r="K64"/>
  <c r="BF63"/>
  <c r="K63"/>
  <c r="BF62"/>
  <c r="K62"/>
  <c r="BF61"/>
  <c r="K61"/>
  <c r="J60"/>
  <c r="J56" s="1"/>
  <c r="I60"/>
  <c r="I56" s="1"/>
  <c r="H60"/>
  <c r="H56" s="1"/>
  <c r="BF59"/>
  <c r="K59"/>
  <c r="BF58"/>
  <c r="K58"/>
  <c r="BF57"/>
  <c r="K57"/>
  <c r="K55"/>
  <c r="K54" s="1"/>
  <c r="J54"/>
  <c r="I54"/>
  <c r="H54"/>
  <c r="BF53"/>
  <c r="K53"/>
  <c r="BF52"/>
  <c r="K52"/>
  <c r="BF51"/>
  <c r="K51"/>
  <c r="J50"/>
  <c r="I50"/>
  <c r="H50"/>
  <c r="BF49"/>
  <c r="K49"/>
  <c r="BF48"/>
  <c r="K48"/>
  <c r="J47"/>
  <c r="I47"/>
  <c r="H47"/>
  <c r="K43"/>
  <c r="J43"/>
  <c r="I43"/>
  <c r="H43"/>
  <c r="K42"/>
  <c r="BF41"/>
  <c r="K40"/>
  <c r="BF36"/>
  <c r="K36"/>
  <c r="BF35"/>
  <c r="K35"/>
  <c r="BF34"/>
  <c r="BF33"/>
  <c r="BF32"/>
  <c r="K32"/>
  <c r="K31"/>
  <c r="BF29"/>
  <c r="K29"/>
  <c r="K28"/>
  <c r="BF27"/>
  <c r="K27"/>
  <c r="J26"/>
  <c r="J19" s="1"/>
  <c r="I26"/>
  <c r="I19" s="1"/>
  <c r="H26"/>
  <c r="H19" s="1"/>
  <c r="BF25"/>
  <c r="K25"/>
  <c r="BF24"/>
  <c r="K24"/>
  <c r="K23"/>
  <c r="BF22"/>
  <c r="K22"/>
  <c r="BF21"/>
  <c r="K21"/>
  <c r="BF20"/>
  <c r="K20"/>
  <c r="K18"/>
  <c r="K17" s="1"/>
  <c r="J17"/>
  <c r="I17"/>
  <c r="H17"/>
  <c r="K15"/>
  <c r="K14"/>
  <c r="J13"/>
  <c r="I13"/>
  <c r="H13"/>
  <c r="BF12"/>
  <c r="K12"/>
  <c r="BF11"/>
  <c r="K11"/>
  <c r="J10"/>
  <c r="I10"/>
  <c r="H10"/>
  <c r="O8" i="3" l="1"/>
  <c r="T8" s="1"/>
  <c r="L7"/>
  <c r="L6" s="1"/>
  <c r="L45" s="1"/>
  <c r="J262" i="4"/>
  <c r="BF258" s="1"/>
  <c r="BF264"/>
  <c r="BF141"/>
  <c r="BF142"/>
  <c r="BF220"/>
  <c r="BF221"/>
  <c r="BF54"/>
  <c r="BF55"/>
  <c r="J500"/>
  <c r="J498" s="1"/>
  <c r="K469"/>
  <c r="K467" s="1"/>
  <c r="BF132"/>
  <c r="K50"/>
  <c r="K10"/>
  <c r="K13"/>
  <c r="K135"/>
  <c r="K162"/>
  <c r="BF72"/>
  <c r="K96"/>
  <c r="K91" s="1"/>
  <c r="BF135"/>
  <c r="K500"/>
  <c r="K498" s="1"/>
  <c r="K409"/>
  <c r="H169"/>
  <c r="J213"/>
  <c r="J212" s="1"/>
  <c r="K300"/>
  <c r="I306"/>
  <c r="I305" s="1"/>
  <c r="I303" s="1"/>
  <c r="H379"/>
  <c r="H378" s="1"/>
  <c r="J252"/>
  <c r="H9"/>
  <c r="H8" s="1"/>
  <c r="H6" s="1"/>
  <c r="H530" s="1"/>
  <c r="J306"/>
  <c r="J305" s="1"/>
  <c r="J303" s="1"/>
  <c r="I252"/>
  <c r="I251" s="1"/>
  <c r="I249" s="1"/>
  <c r="K19" i="6"/>
  <c r="L19" s="1"/>
  <c r="I46" i="4"/>
  <c r="I45" s="1"/>
  <c r="I213"/>
  <c r="J46"/>
  <c r="J45" s="1"/>
  <c r="K89"/>
  <c r="K120"/>
  <c r="K115" s="1"/>
  <c r="H131"/>
  <c r="K379"/>
  <c r="K378" s="1"/>
  <c r="K26"/>
  <c r="K19" s="1"/>
  <c r="K214"/>
  <c r="H46"/>
  <c r="H45" s="1"/>
  <c r="H81"/>
  <c r="H78" s="1"/>
  <c r="K109"/>
  <c r="I130"/>
  <c r="J169"/>
  <c r="K268"/>
  <c r="K262" s="1"/>
  <c r="I9"/>
  <c r="I8" s="1"/>
  <c r="I6" s="1"/>
  <c r="H105"/>
  <c r="H104" s="1"/>
  <c r="H102" s="1"/>
  <c r="K72"/>
  <c r="J9"/>
  <c r="J8" s="1"/>
  <c r="J6" s="1"/>
  <c r="H213"/>
  <c r="H212" s="1"/>
  <c r="H438"/>
  <c r="H437" s="1"/>
  <c r="H435" s="1"/>
  <c r="H469"/>
  <c r="H467" s="1"/>
  <c r="I169"/>
  <c r="K185"/>
  <c r="K170" s="1"/>
  <c r="K280"/>
  <c r="K331"/>
  <c r="H500"/>
  <c r="H498" s="1"/>
  <c r="K113"/>
  <c r="BF47"/>
  <c r="BF50"/>
  <c r="K47"/>
  <c r="K132"/>
  <c r="BF216"/>
  <c r="K253"/>
  <c r="H252"/>
  <c r="H251" s="1"/>
  <c r="H249" s="1"/>
  <c r="BF10"/>
  <c r="K60"/>
  <c r="K56" s="1"/>
  <c r="BF89"/>
  <c r="K106"/>
  <c r="BF113"/>
  <c r="J378"/>
  <c r="K438"/>
  <c r="K437" s="1"/>
  <c r="K435" s="1"/>
  <c r="I500"/>
  <c r="I498" s="1"/>
  <c r="K217"/>
  <c r="K256"/>
  <c r="I378"/>
  <c r="BF213"/>
  <c r="K426"/>
  <c r="K340"/>
  <c r="K339" s="1"/>
  <c r="BF82"/>
  <c r="J130"/>
  <c r="K260"/>
  <c r="H306"/>
  <c r="H305" s="1"/>
  <c r="K82"/>
  <c r="K85"/>
  <c r="BF255"/>
  <c r="J340"/>
  <c r="K202"/>
  <c r="K232"/>
  <c r="K223" s="1"/>
  <c r="K153"/>
  <c r="K143" s="1"/>
  <c r="BF252"/>
  <c r="BF259"/>
  <c r="H340"/>
  <c r="H339" s="1"/>
  <c r="I340"/>
  <c r="O7" i="3" l="1"/>
  <c r="G20" i="16" s="1"/>
  <c r="P8" i="3"/>
  <c r="J251" i="4"/>
  <c r="J249" s="1"/>
  <c r="BF248"/>
  <c r="BE412"/>
  <c r="BF412" s="1"/>
  <c r="BE400"/>
  <c r="BF400" s="1"/>
  <c r="K9"/>
  <c r="K8" s="1"/>
  <c r="K6" s="1"/>
  <c r="K530" s="1"/>
  <c r="BF115"/>
  <c r="BF120"/>
  <c r="BF91"/>
  <c r="BF96"/>
  <c r="BF261"/>
  <c r="BF267"/>
  <c r="BF222"/>
  <c r="BF231"/>
  <c r="BF143"/>
  <c r="BF153"/>
  <c r="BF56"/>
  <c r="BF60"/>
  <c r="K46"/>
  <c r="K45" s="1"/>
  <c r="BF131"/>
  <c r="K131"/>
  <c r="H19" i="5"/>
  <c r="I19" s="1"/>
  <c r="H8"/>
  <c r="I8" s="1"/>
  <c r="J128" i="4"/>
  <c r="K6" i="6"/>
  <c r="L6" s="1"/>
  <c r="K105" i="4"/>
  <c r="K104" s="1"/>
  <c r="K102" s="1"/>
  <c r="BF81"/>
  <c r="K8" i="6"/>
  <c r="L8" s="1"/>
  <c r="AQ19" i="3"/>
  <c r="F14" i="1"/>
  <c r="AQ15" i="3"/>
  <c r="I128" i="4"/>
  <c r="AQ26" i="3"/>
  <c r="AQ20"/>
  <c r="AQ16"/>
  <c r="AQ13"/>
  <c r="AQ17"/>
  <c r="AQ24"/>
  <c r="AQ23"/>
  <c r="AQ14"/>
  <c r="AQ21"/>
  <c r="AQ18"/>
  <c r="AQ22"/>
  <c r="K169" i="4"/>
  <c r="K213"/>
  <c r="K212" s="1"/>
  <c r="K210" s="1"/>
  <c r="F13" i="1"/>
  <c r="K81" i="4"/>
  <c r="K78" s="1"/>
  <c r="H15" i="5"/>
  <c r="I15" s="1"/>
  <c r="H20"/>
  <c r="I20" s="1"/>
  <c r="K20" i="6"/>
  <c r="L20" s="1"/>
  <c r="H9" i="5"/>
  <c r="I9" s="1"/>
  <c r="K9" i="6"/>
  <c r="L9" s="1"/>
  <c r="K7"/>
  <c r="L7" s="1"/>
  <c r="K11"/>
  <c r="L11" s="1"/>
  <c r="H11" i="5"/>
  <c r="I11" s="1"/>
  <c r="K252" i="4"/>
  <c r="K251" s="1"/>
  <c r="H303"/>
  <c r="T7" i="3" l="1"/>
  <c r="T6" s="1"/>
  <c r="P7"/>
  <c r="O6"/>
  <c r="BE399" i="4"/>
  <c r="BE408"/>
  <c r="BF169"/>
  <c r="BE375"/>
  <c r="BF375" s="1"/>
  <c r="BF45"/>
  <c r="BF46"/>
  <c r="BF9"/>
  <c r="BF250"/>
  <c r="BF251"/>
  <c r="K16" i="6"/>
  <c r="L16" s="1"/>
  <c r="AQ8" i="3"/>
  <c r="AQ11"/>
  <c r="AQ9"/>
  <c r="K18" i="6"/>
  <c r="L18" s="1"/>
  <c r="H18" i="5"/>
  <c r="I18" s="1"/>
  <c r="AQ25" i="3"/>
  <c r="K10" i="6"/>
  <c r="L10" s="1"/>
  <c r="H10" i="5"/>
  <c r="I10" s="1"/>
  <c r="H17"/>
  <c r="I17" s="1"/>
  <c r="K17" i="6"/>
  <c r="L17" s="1"/>
  <c r="H23" i="5"/>
  <c r="I23" s="1"/>
  <c r="H13"/>
  <c r="I13" s="1"/>
  <c r="K13" i="6"/>
  <c r="L13" s="1"/>
  <c r="K12"/>
  <c r="L12" s="1"/>
  <c r="H16" i="5"/>
  <c r="I16" s="1"/>
  <c r="O45" i="3" l="1"/>
  <c r="P6"/>
  <c r="O533" i="4"/>
  <c r="BF408"/>
  <c r="BF399"/>
  <c r="K23" i="6"/>
  <c r="L23" s="1"/>
  <c r="D26" i="5"/>
  <c r="D25" s="1"/>
  <c r="H12"/>
  <c r="I12" s="1"/>
  <c r="H7"/>
  <c r="I7" s="1"/>
  <c r="AQ7" i="3"/>
  <c r="F11" i="1"/>
  <c r="AQ10" i="3"/>
  <c r="C26" i="5"/>
  <c r="C25" s="1"/>
  <c r="J18" s="1"/>
  <c r="F10" i="1"/>
  <c r="K22" i="6"/>
  <c r="L22" s="1"/>
  <c r="H22" i="5"/>
  <c r="I22" s="1"/>
  <c r="H5"/>
  <c r="I5" s="1"/>
  <c r="K5" i="6"/>
  <c r="L5" s="1"/>
  <c r="K14"/>
  <c r="L14" s="1"/>
  <c r="H14" i="5"/>
  <c r="I14" s="1"/>
  <c r="H21"/>
  <c r="I21" s="1"/>
  <c r="K21" i="6"/>
  <c r="L21" s="1"/>
  <c r="G18" i="16" l="1"/>
  <c r="O868" i="3"/>
  <c r="BF527" i="4"/>
  <c r="AD533"/>
  <c r="P45" i="3"/>
  <c r="P868" s="1"/>
  <c r="P869" s="1"/>
  <c r="P47"/>
  <c r="H6" i="5"/>
  <c r="I6" s="1"/>
  <c r="H2"/>
  <c r="I2" s="1"/>
  <c r="K2" i="6"/>
  <c r="L2" s="1"/>
  <c r="H4" i="5"/>
  <c r="I4" s="1"/>
  <c r="K4" i="6"/>
  <c r="L4" s="1"/>
  <c r="B26" i="5"/>
  <c r="B25" s="1"/>
  <c r="K3" i="6"/>
  <c r="L3" s="1"/>
  <c r="H3" i="5"/>
  <c r="I3" s="1"/>
  <c r="P870" i="3" l="1"/>
  <c r="E26" i="5"/>
  <c r="E25" s="1"/>
  <c r="E21" i="1" l="1"/>
  <c r="F9"/>
  <c r="F8" s="1"/>
  <c r="E11"/>
  <c r="E10"/>
  <c r="E3"/>
  <c r="AB36" i="2" l="1"/>
  <c r="AB110"/>
  <c r="AB34"/>
  <c r="AB108"/>
  <c r="AB176"/>
  <c r="AB33"/>
  <c r="AB35"/>
  <c r="AB107"/>
  <c r="AB109"/>
  <c r="AB111"/>
  <c r="E9" i="1"/>
  <c r="E8" s="1"/>
  <c r="E2"/>
  <c r="E17" l="1"/>
  <c r="E22" s="1"/>
  <c r="E23" s="1"/>
  <c r="F6" l="1"/>
  <c r="H6" s="1"/>
  <c r="AB211" i="2" l="1"/>
  <c r="F4" i="1"/>
  <c r="F5"/>
  <c r="H4" l="1"/>
  <c r="H5"/>
  <c r="F3"/>
  <c r="F17" s="1"/>
  <c r="F22" s="1"/>
  <c r="G17" l="1"/>
  <c r="H3"/>
  <c r="F2"/>
  <c r="H2" s="1"/>
  <c r="F23" l="1"/>
  <c r="AP27" i="3" l="1"/>
  <c r="AQ27" s="1"/>
  <c r="AP12" l="1"/>
  <c r="AQ12" s="1"/>
  <c r="F26" i="5" l="1"/>
  <c r="BC169" i="4" l="1"/>
  <c r="BD169" s="1"/>
  <c r="W6" i="10" l="1"/>
  <c r="T7" l="1"/>
  <c r="U7" s="1"/>
  <c r="S6" i="12" l="1"/>
  <c r="BC13" i="4" l="1"/>
  <c r="AA19" i="14"/>
  <c r="AD19"/>
  <c r="AE19" s="1"/>
  <c r="BC340" i="4"/>
  <c r="T6" i="10" l="1"/>
  <c r="U6" s="1"/>
  <c r="BC446" i="4"/>
  <c r="BE517"/>
  <c r="BC448"/>
  <c r="BC435" l="1"/>
  <c r="BC19" l="1"/>
  <c r="BC26"/>
  <c r="BC6" l="1"/>
  <c r="BD6" s="1"/>
  <c r="BE526" l="1"/>
  <c r="BF526" s="1"/>
  <c r="BD498" l="1"/>
  <c r="AA33" i="3" l="1"/>
  <c r="AD36" l="1"/>
  <c r="AD14" l="1"/>
  <c r="BC314" i="4" l="1"/>
  <c r="BD314" s="1"/>
  <c r="BC307"/>
  <c r="BD307" s="1"/>
  <c r="AA7" i="14"/>
  <c r="AD7"/>
  <c r="AD11" i="3"/>
  <c r="AD8"/>
  <c r="BC310" i="4" l="1"/>
  <c r="BD310" s="1"/>
  <c r="Y10" i="3"/>
  <c r="Z10" s="1"/>
  <c r="Y27" l="1"/>
  <c r="Z27" s="1"/>
  <c r="AD27"/>
  <c r="AA6" i="14"/>
  <c r="BC409" i="4"/>
  <c r="BC410" s="1"/>
  <c r="AC6" i="14"/>
  <c r="AD6" s="1"/>
  <c r="BD303" i="4"/>
  <c r="BC305" l="1"/>
  <c r="AD37" i="3" l="1"/>
  <c r="AE44"/>
  <c r="AE36" l="1"/>
  <c r="AF43" l="1"/>
  <c r="AB43"/>
  <c r="AE43"/>
  <c r="BC429" i="4"/>
  <c r="BC135"/>
  <c r="BD135" s="1"/>
  <c r="BC232" l="1"/>
  <c r="BD232" s="1"/>
  <c r="BD223"/>
  <c r="AD25" i="3"/>
  <c r="AD9"/>
  <c r="BC50" i="4" l="1"/>
  <c r="BC223"/>
  <c r="I872" i="3"/>
  <c r="X41"/>
  <c r="X37" i="2"/>
  <c r="Y37" s="1"/>
  <c r="Z37" s="1"/>
  <c r="BC212" i="4" l="1"/>
  <c r="BD212" s="1"/>
  <c r="U161" i="37"/>
  <c r="U160"/>
  <c r="AX339" i="4"/>
  <c r="BC339"/>
  <c r="BD339" s="1"/>
  <c r="Z41" i="3"/>
  <c r="AW537" i="4"/>
  <c r="BC376"/>
  <c r="BC210"/>
  <c r="BD210" s="1"/>
  <c r="BE44"/>
  <c r="BF44" s="1"/>
  <c r="U162" i="37" l="1"/>
  <c r="BC130" i="4"/>
  <c r="BD130" s="1"/>
  <c r="Y7" i="3"/>
  <c r="Z7" s="1"/>
  <c r="Y12"/>
  <c r="Z12" s="1"/>
  <c r="AD12"/>
  <c r="AE12" s="1"/>
  <c r="BC128" i="4" l="1"/>
  <c r="BD128" s="1"/>
  <c r="BC43"/>
  <c r="BD43" s="1"/>
  <c r="Y45" i="3"/>
  <c r="AW536" i="4"/>
  <c r="AW538" s="1"/>
  <c r="V160" i="37"/>
  <c r="X215" i="2"/>
  <c r="Y215" s="1"/>
  <c r="Y6" i="3"/>
  <c r="Z6" s="1"/>
  <c r="AD41"/>
  <c r="AD6"/>
  <c r="AE6" s="1"/>
  <c r="BC303" i="4"/>
  <c r="V161" i="37" l="1"/>
  <c r="V162" s="1"/>
  <c r="AX530" i="4"/>
  <c r="W545" l="1"/>
  <c r="W548" l="1"/>
  <c r="W550"/>
  <c r="AV532"/>
  <c r="AW532" s="1"/>
  <c r="AC130" i="37" l="1"/>
  <c r="AC144" l="1"/>
  <c r="AI400" i="4" l="1"/>
  <c r="AC102" i="37"/>
  <c r="AC107"/>
  <c r="AC77"/>
  <c r="AI389" i="4" l="1"/>
  <c r="AI409"/>
  <c r="AI280" l="1"/>
  <c r="AI378"/>
  <c r="AI435" l="1"/>
  <c r="Y158" i="37" l="1"/>
  <c r="Y159" s="1"/>
  <c r="AD249" i="4" l="1"/>
  <c r="L868" i="3"/>
  <c r="W543" i="4" l="1"/>
  <c r="I36" i="16" l="1"/>
  <c r="S43" i="3" l="1"/>
  <c r="Z6" i="39" l="1"/>
  <c r="L124" i="2"/>
  <c r="M124" s="1"/>
  <c r="T540" i="4" l="1"/>
  <c r="T543" s="1"/>
  <c r="AA530"/>
  <c r="G9" i="16" l="1"/>
  <c r="F38" l="1"/>
  <c r="R6" i="3" l="1"/>
  <c r="S6" s="1"/>
  <c r="Y340" i="4" l="1"/>
  <c r="AA340"/>
  <c r="AA339"/>
  <c r="Y339"/>
  <c r="U540" l="1"/>
  <c r="U543" s="1"/>
  <c r="Y303" l="1"/>
  <c r="R45" i="3" l="1"/>
  <c r="R46" s="1"/>
</calcChain>
</file>

<file path=xl/comments1.xml><?xml version="1.0" encoding="utf-8"?>
<comments xmlns="http://schemas.openxmlformats.org/spreadsheetml/2006/main">
  <authors>
    <author>Author</author>
  </authors>
  <commentList>
    <comment ref="E92" authorId="0">
      <text>
        <r>
          <rPr>
            <b/>
            <sz val="25"/>
            <color indexed="81"/>
            <rFont val="Tahoma"/>
            <family val="2"/>
            <charset val="238"/>
          </rPr>
          <t xml:space="preserve">zahtjev 50 ja stavio na 200
</t>
        </r>
        <r>
          <rPr>
            <sz val="25"/>
            <color indexed="81"/>
            <rFont val="Tahoma"/>
            <family val="2"/>
            <charset val="238"/>
          </rPr>
          <t xml:space="preserve">
</t>
        </r>
      </text>
    </comment>
    <comment ref="J92" authorId="0">
      <text>
        <r>
          <rPr>
            <b/>
            <sz val="25"/>
            <color indexed="81"/>
            <rFont val="Tahoma"/>
            <family val="2"/>
            <charset val="238"/>
          </rPr>
          <t xml:space="preserve">zahtjev 50 ja stavio na 200
</t>
        </r>
        <r>
          <rPr>
            <sz val="25"/>
            <color indexed="81"/>
            <rFont val="Tahoma"/>
            <family val="2"/>
            <charset val="238"/>
          </rPr>
          <t xml:space="preserve">
</t>
        </r>
      </text>
    </comment>
    <comment ref="O92" authorId="0">
      <text>
        <r>
          <rPr>
            <b/>
            <sz val="25"/>
            <color indexed="81"/>
            <rFont val="Tahoma"/>
            <family val="2"/>
            <charset val="238"/>
          </rPr>
          <t xml:space="preserve">zahtjev 50 ja stavio na 200
</t>
        </r>
        <r>
          <rPr>
            <sz val="25"/>
            <color indexed="81"/>
            <rFont val="Tahoma"/>
            <family val="2"/>
            <charset val="238"/>
          </rPr>
          <t xml:space="preserve">
</t>
        </r>
      </text>
    </comment>
    <comment ref="T92" authorId="0">
      <text>
        <r>
          <rPr>
            <b/>
            <sz val="25"/>
            <color indexed="81"/>
            <rFont val="Tahoma"/>
            <family val="2"/>
            <charset val="238"/>
          </rPr>
          <t xml:space="preserve">zahtjev 50 ja stavio na 200
</t>
        </r>
        <r>
          <rPr>
            <sz val="25"/>
            <color indexed="81"/>
            <rFont val="Tahoma"/>
            <family val="2"/>
            <charset val="238"/>
          </rPr>
          <t xml:space="preserve">
</t>
        </r>
      </text>
    </comment>
    <comment ref="X92" authorId="0">
      <text>
        <r>
          <rPr>
            <b/>
            <sz val="25"/>
            <color indexed="81"/>
            <rFont val="Tahoma"/>
            <family val="2"/>
            <charset val="238"/>
          </rPr>
          <t xml:space="preserve">zahtjev 50 ja stavio na 200
</t>
        </r>
        <r>
          <rPr>
            <sz val="25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V25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comments3.xml><?xml version="1.0" encoding="utf-8"?>
<comments xmlns="http://schemas.openxmlformats.org/spreadsheetml/2006/main">
  <authors>
    <author>Autor</author>
    <author>indiram</author>
  </authors>
  <commentList>
    <comment ref="BE172" authorId="0">
      <text>
        <r>
          <rPr>
            <b/>
            <sz val="20"/>
            <color indexed="81"/>
            <rFont val="Tahoma"/>
            <family val="2"/>
            <charset val="238"/>
          </rPr>
          <t>Autor:</t>
        </r>
        <r>
          <rPr>
            <sz val="20"/>
            <color indexed="81"/>
            <rFont val="Tahoma"/>
            <family val="2"/>
            <charset val="238"/>
          </rPr>
          <t xml:space="preserve">
promjeniti fond</t>
        </r>
      </text>
    </comment>
    <comment ref="U186" authorId="0">
      <text>
        <r>
          <rPr>
            <b/>
            <sz val="40"/>
            <color indexed="81"/>
            <rFont val="Tahoma"/>
            <family val="2"/>
            <charset val="238"/>
          </rPr>
          <t>Autor:</t>
        </r>
        <r>
          <rPr>
            <sz val="40"/>
            <color indexed="81"/>
            <rFont val="Tahoma"/>
            <family val="2"/>
            <charset val="238"/>
          </rPr>
          <t xml:space="preserve">
TREBA RASPOREDITI</t>
        </r>
      </text>
    </comment>
    <comment ref="AH186" authorId="0">
      <text>
        <r>
          <rPr>
            <b/>
            <sz val="40"/>
            <color indexed="81"/>
            <rFont val="Tahoma"/>
            <family val="2"/>
            <charset val="238"/>
          </rPr>
          <t>Autor:</t>
        </r>
        <r>
          <rPr>
            <sz val="40"/>
            <color indexed="81"/>
            <rFont val="Tahoma"/>
            <family val="2"/>
            <charset val="238"/>
          </rPr>
          <t xml:space="preserve">
TREBA RASPOREDITI</t>
        </r>
      </text>
    </comment>
    <comment ref="BE186" authorId="0">
      <text>
        <r>
          <rPr>
            <b/>
            <sz val="40"/>
            <color indexed="81"/>
            <rFont val="Tahoma"/>
            <family val="2"/>
            <charset val="238"/>
          </rPr>
          <t>Autor:</t>
        </r>
        <r>
          <rPr>
            <sz val="40"/>
            <color indexed="81"/>
            <rFont val="Tahoma"/>
            <family val="2"/>
            <charset val="238"/>
          </rPr>
          <t xml:space="preserve">
TREBA RASPOREDITI</t>
        </r>
      </text>
    </comment>
    <comment ref="BE199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promjeniti fond</t>
        </r>
      </text>
    </comment>
    <comment ref="L236" authorId="0">
      <text>
        <r>
          <rPr>
            <b/>
            <sz val="55"/>
            <color indexed="81"/>
            <rFont val="Segoe UI"/>
            <family val="2"/>
            <charset val="238"/>
          </rPr>
          <t>Smanjeno</t>
        </r>
      </text>
    </comment>
    <comment ref="N370" authorId="1">
      <text>
        <r>
          <rPr>
            <b/>
            <sz val="9"/>
            <color indexed="81"/>
            <rFont val="Segoe UI"/>
            <family val="2"/>
            <charset val="238"/>
          </rPr>
          <t>indiram:</t>
        </r>
        <r>
          <rPr>
            <sz val="9"/>
            <color indexed="81"/>
            <rFont val="Segoe UI"/>
            <family val="2"/>
            <charset val="238"/>
          </rPr>
          <t xml:space="preserve">
OVO SU I TEKUĆI  I PS GRANTOVI
</t>
        </r>
      </text>
    </comment>
    <comment ref="R371" authorId="1">
      <text>
        <r>
          <rPr>
            <b/>
            <sz val="9"/>
            <color indexed="81"/>
            <rFont val="Segoe UI"/>
            <family val="2"/>
            <charset val="238"/>
          </rPr>
          <t>indiram:</t>
        </r>
        <r>
          <rPr>
            <sz val="9"/>
            <color indexed="81"/>
            <rFont val="Segoe UI"/>
            <family val="2"/>
            <charset val="238"/>
          </rPr>
          <t xml:space="preserve">
OVO SU I TEKUĆI  I PS GRANTOVI
</t>
        </r>
      </text>
    </comment>
    <comment ref="V371" authorId="1">
      <text>
        <r>
          <rPr>
            <b/>
            <sz val="9"/>
            <color indexed="81"/>
            <rFont val="Segoe UI"/>
            <family val="2"/>
            <charset val="238"/>
          </rPr>
          <t>indiram:</t>
        </r>
        <r>
          <rPr>
            <sz val="9"/>
            <color indexed="81"/>
            <rFont val="Segoe UI"/>
            <family val="2"/>
            <charset val="238"/>
          </rPr>
          <t xml:space="preserve">
OVO SU I TEKUĆI  I PS GRANTOVI
</t>
        </r>
      </text>
    </comment>
  </commentList>
</comments>
</file>

<file path=xl/comments4.xml><?xml version="1.0" encoding="utf-8"?>
<comments xmlns="http://schemas.openxmlformats.org/spreadsheetml/2006/main">
  <authors>
    <author>indiram</author>
  </authors>
  <commentList>
    <comment ref="G13" authorId="0">
      <text>
        <r>
          <rPr>
            <b/>
            <sz val="9"/>
            <color indexed="81"/>
            <rFont val="Segoe UI"/>
            <family val="2"/>
            <charset val="238"/>
          </rPr>
          <t>i</t>
        </r>
        <r>
          <rPr>
            <b/>
            <sz val="14"/>
            <color indexed="81"/>
            <rFont val="Segoe UI"/>
            <family val="2"/>
            <charset val="238"/>
          </rPr>
          <t>ndiram:</t>
        </r>
        <r>
          <rPr>
            <sz val="14"/>
            <color indexed="81"/>
            <rFont val="Segoe UI"/>
            <family val="2"/>
            <charset val="238"/>
          </rPr>
          <t xml:space="preserve">
nemogu da nađem projekat dječiji dom mostar</t>
        </r>
      </text>
    </comment>
    <comment ref="J13" authorId="0">
      <text>
        <r>
          <rPr>
            <b/>
            <sz val="9"/>
            <color indexed="81"/>
            <rFont val="Segoe UI"/>
            <family val="2"/>
            <charset val="238"/>
          </rPr>
          <t>i</t>
        </r>
        <r>
          <rPr>
            <b/>
            <sz val="14"/>
            <color indexed="81"/>
            <rFont val="Segoe UI"/>
            <family val="2"/>
            <charset val="238"/>
          </rPr>
          <t>ndiram:</t>
        </r>
        <r>
          <rPr>
            <sz val="14"/>
            <color indexed="81"/>
            <rFont val="Segoe UI"/>
            <family val="2"/>
            <charset val="238"/>
          </rPr>
          <t xml:space="preserve">
nemogu da nađem projekat dječiji dom mostar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C19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<sst xmlns="http://schemas.openxmlformats.org/spreadsheetml/2006/main" count="3842" uniqueCount="1722">
  <si>
    <t>Redni broj</t>
  </si>
  <si>
    <t>Opis</t>
  </si>
  <si>
    <t>Rebalans Budžeta za 2020.g.</t>
  </si>
  <si>
    <t>Budžet za 2021.g.</t>
  </si>
  <si>
    <t>1.</t>
  </si>
  <si>
    <t>UKUPNI PRIHODI I PRIMICI (1.1.+1.2.)</t>
  </si>
  <si>
    <t>1.1.</t>
  </si>
  <si>
    <t>Ukupni prihodi (1.1.1+1.1.2.+1.1.3.)</t>
  </si>
  <si>
    <t>1.1.1.</t>
  </si>
  <si>
    <t>Prihodi od poreza</t>
  </si>
  <si>
    <t>1.1.2.</t>
  </si>
  <si>
    <t>Neporezni prihodi</t>
  </si>
  <si>
    <t>1.1.3.</t>
  </si>
  <si>
    <t>Primljeni transferi i donacije</t>
  </si>
  <si>
    <t>1.2.</t>
  </si>
  <si>
    <t>Primici od prodaje stalne imovine</t>
  </si>
  <si>
    <t>2.</t>
  </si>
  <si>
    <t>UKUPNI RASHODI I IZDACI (2.1.+2.2.)</t>
  </si>
  <si>
    <t>2.1.</t>
  </si>
  <si>
    <t>Ukupni rashodi (2.1.1. do 2.1.6.)</t>
  </si>
  <si>
    <t>2.1.1.</t>
  </si>
  <si>
    <t>Plaće, naknade troškova zaposlenih i doprinosi poslodavca</t>
  </si>
  <si>
    <t>2.1.2.</t>
  </si>
  <si>
    <t>Izdaci za materijalne troškove</t>
  </si>
  <si>
    <t>2.1.3.</t>
  </si>
  <si>
    <t>Tekući transferi</t>
  </si>
  <si>
    <t>2.1.4.</t>
  </si>
  <si>
    <t>Kapitalni transferi</t>
  </si>
  <si>
    <t>2.1.5.</t>
  </si>
  <si>
    <t>Izdaci za kamate</t>
  </si>
  <si>
    <t>2.1.6.</t>
  </si>
  <si>
    <t>Tekuća rezerva</t>
  </si>
  <si>
    <t>2.2.</t>
  </si>
  <si>
    <t>Izdaci za nabavku stalne imovine</t>
  </si>
  <si>
    <t>3.</t>
  </si>
  <si>
    <t>FINANSIJSKI REZULTAT TEKUĆE GODINE- SUFICIT/DEFICIT  (1.1.-2.1.)</t>
  </si>
  <si>
    <t>4.</t>
  </si>
  <si>
    <t>NETO NABAVKA STALNE/NEFINANSIJSKE IMOVINE (1.2.-2.2.)</t>
  </si>
  <si>
    <t>5.</t>
  </si>
  <si>
    <t>PRIMICI OD FINANSIJSKE IMOVINE I ZADUŽIVANJA</t>
  </si>
  <si>
    <t>6.</t>
  </si>
  <si>
    <t>IZDACI OD FINANSIJSKE IMOVINE I ZADUŽIVANJA</t>
  </si>
  <si>
    <t>7.</t>
  </si>
  <si>
    <t>NETO FINANSIRANJE (5-6)</t>
  </si>
  <si>
    <t>8.</t>
  </si>
  <si>
    <t>UKUPAN SUFICIT/DEFICIT TEKUĆE GODINE (3+4)</t>
  </si>
  <si>
    <t>9.</t>
  </si>
  <si>
    <t>UKUPAN FINANSIJSKI REZULTAT (7+8)</t>
  </si>
  <si>
    <t>OPIS</t>
  </si>
  <si>
    <t>Indeks</t>
  </si>
  <si>
    <t>Opšti fond</t>
  </si>
  <si>
    <t>Namjenski prihodi</t>
  </si>
  <si>
    <t xml:space="preserve">Donacije/grantovi </t>
  </si>
  <si>
    <t>UKUPNO</t>
  </si>
  <si>
    <t>8=5+6+7</t>
  </si>
  <si>
    <t>1. POREZNI PRIHODI</t>
  </si>
  <si>
    <t>DIREKTNI POREZI</t>
  </si>
  <si>
    <t>711000</t>
  </si>
  <si>
    <t>Porez na dobit pojedinca (zaostale uplate poreza)</t>
  </si>
  <si>
    <t>Porez na dobit od privredne i prof. Djelatnosti</t>
  </si>
  <si>
    <t>Porez od poljoprivredne djelatnosti</t>
  </si>
  <si>
    <t>Porez na osnovu autorskih prava</t>
  </si>
  <si>
    <t>Porez na ukupan prihod fizičkih lica</t>
  </si>
  <si>
    <t>Porez na prihod od imovine i imovinskih prava</t>
  </si>
  <si>
    <t xml:space="preserve">Porez na platu i radnu snagu   (zaostale uplate poreza) </t>
  </si>
  <si>
    <t>Porez na plaću i druga osobna primanja</t>
  </si>
  <si>
    <t xml:space="preserve">Porez na dodatna primanja </t>
  </si>
  <si>
    <t>714000</t>
  </si>
  <si>
    <t>Porez na imovinu</t>
  </si>
  <si>
    <t>Porez na imovinu od fizičkih lica</t>
  </si>
  <si>
    <t>Porez na imovinu od pravnih lica</t>
  </si>
  <si>
    <t>Porez na imovinu od motornih vozila</t>
  </si>
  <si>
    <t>Porez na naslijeđe</t>
  </si>
  <si>
    <t>Porez na promet nekretninama</t>
  </si>
  <si>
    <t>715000</t>
  </si>
  <si>
    <t xml:space="preserve">Domaći  porez na proizvode i usluge (zaostale obaveze na osnovu poreza na promet  dobara i usluga) </t>
  </si>
  <si>
    <t>Prihodi od indirektnih poreza</t>
  </si>
  <si>
    <t>717114</t>
  </si>
  <si>
    <t>Ostali porezi</t>
  </si>
  <si>
    <t>Poseban porez na plaću za zaštitu  od pr. i dr. nepogoda (zaostale obaveze)</t>
  </si>
  <si>
    <t>Poseban porez za zaštitu i spašavanje po ugovoru o djelu (zaostale obaveze)</t>
  </si>
  <si>
    <t>Porez na potrošnju u ugostiteljstvu od pravnih lica</t>
  </si>
  <si>
    <t>Porez na potrošnju u ugostiteljstvu od fizičkih lica</t>
  </si>
  <si>
    <t>2.  NEPOREZNI PRIHODI (2.1.+2.2.+2.3.+2.4.+2.5.)</t>
  </si>
  <si>
    <t xml:space="preserve"> PRIHODI OD PODUZETNIČKIH AKTIVNOSTI</t>
  </si>
  <si>
    <t>721000</t>
  </si>
  <si>
    <t xml:space="preserve"> 2.1.Naknada za eksploataciju mineralnih sirovina</t>
  </si>
  <si>
    <t>721000; 722000</t>
  </si>
  <si>
    <t>2.2.Naknade po osnovu građenja i građevnog zemljišta po gradskim područjima (prihodi od kamata i prihodi od imovine)</t>
  </si>
  <si>
    <t>GP Sjever</t>
  </si>
  <si>
    <t>Prihodi od kamata za depozite u banci</t>
  </si>
  <si>
    <t>Općinska naknada za dodijeljeno zemljište</t>
  </si>
  <si>
    <t>Naknada za uređenje građ. Zemljišta</t>
  </si>
  <si>
    <t xml:space="preserve">Naknada za korištenje građ. Zemljišta </t>
  </si>
  <si>
    <t>Naknada za pogodnost  renta</t>
  </si>
  <si>
    <t>GP Stari grad</t>
  </si>
  <si>
    <t xml:space="preserve">Općinska naknada za dodijeljeno zemljište </t>
  </si>
  <si>
    <t xml:space="preserve">Naknada za uređenje građ zemljišta  </t>
  </si>
  <si>
    <t xml:space="preserve">Naknada za korištenje građ. zemljišta  </t>
  </si>
  <si>
    <t>GP Jugoistok</t>
  </si>
  <si>
    <t xml:space="preserve">Naknada za uređenje građ. zemljišta </t>
  </si>
  <si>
    <t xml:space="preserve">Naknada za korištenje građ. zemljišta </t>
  </si>
  <si>
    <t xml:space="preserve">Naknada po osnovu prirodnih pogodnosti Renta </t>
  </si>
  <si>
    <t>GP Jug</t>
  </si>
  <si>
    <t xml:space="preserve">Općinska naknada za dodijeljeno zemljište  </t>
  </si>
  <si>
    <t xml:space="preserve">Naknada za uređenje građ zemljišta </t>
  </si>
  <si>
    <t>Naknada po osnovu prirodnih pogodnosi Renta</t>
  </si>
  <si>
    <t>GP Jugozapad</t>
  </si>
  <si>
    <t>GP Zapad</t>
  </si>
  <si>
    <t>Naknada po osnovu prirodnih pogodnosti Renta</t>
  </si>
  <si>
    <t>GP Centralna zona</t>
  </si>
  <si>
    <t>Naknada za uređenje građ. zemljišta</t>
  </si>
  <si>
    <t>Naknada za korištenje građ. zemljišta</t>
  </si>
  <si>
    <t>Naknada po osnovu prirodnih pogodnosti Renta- Centralna zona</t>
  </si>
  <si>
    <t>GP Grad</t>
  </si>
  <si>
    <t>Naknada za građevno zemljište i renta</t>
  </si>
  <si>
    <t>2.3.Ostali prihodi od poduzetničkih aktivnosti</t>
  </si>
  <si>
    <t>2.4. NAKNADE I TAKSE OD JAVNIH USLUGA</t>
  </si>
  <si>
    <t>722100</t>
  </si>
  <si>
    <t>Gradske administrativne takse</t>
  </si>
  <si>
    <t>Administrativne takse</t>
  </si>
  <si>
    <t>Komunalne naknade i takse</t>
  </si>
  <si>
    <t>Općinske naknade-upotreba grba Grada Mostara</t>
  </si>
  <si>
    <t>Komunalne takse</t>
  </si>
  <si>
    <t>Komunalne naknade i ostale općinske  naknade</t>
  </si>
  <si>
    <t xml:space="preserve">Individualne komunalne naknade </t>
  </si>
  <si>
    <t xml:space="preserve">Ostale budžetske naknade i takse </t>
  </si>
  <si>
    <t>722500</t>
  </si>
  <si>
    <t>Naknade za ceste</t>
  </si>
  <si>
    <t>Posebne naknade i takse za Civilnu zaštitu i vatrogastvo</t>
  </si>
  <si>
    <t>Nakande za korištenje  po i izmjere i kataster</t>
  </si>
  <si>
    <t>Nakande za vršenje usluga i odl. I premjera i katastra</t>
  </si>
  <si>
    <t>Prihodi od pružanja javnih usluga</t>
  </si>
  <si>
    <t>Prihod od pružanja usluga građanima-Katastar</t>
  </si>
  <si>
    <t>Prihod od pružanja usluga - Civilna zaštita i vatrogastvo</t>
  </si>
  <si>
    <t xml:space="preserve"> Usluge kopiranja</t>
  </si>
  <si>
    <t>Prihod od pružanja usluga - Službeni glasnik</t>
  </si>
  <si>
    <t>Prihod od javnog nadmetanja</t>
  </si>
  <si>
    <t>Ostali neplanirani prihodi</t>
  </si>
  <si>
    <t>Ostali povrati</t>
  </si>
  <si>
    <t>Prihodi od troškova naplate po osnovu pokretanja postupka prinudne naplate</t>
  </si>
  <si>
    <t>Ostale ne planirane uzplate</t>
  </si>
  <si>
    <t>2.5. NOVČANE KAZNE</t>
  </si>
  <si>
    <t>Novčane kazne po općinskim propisima</t>
  </si>
  <si>
    <t>3. TEKUĆI GRANTOVI</t>
  </si>
  <si>
    <t>731000</t>
  </si>
  <si>
    <t>Gran iz inostranstva iz 2019</t>
  </si>
  <si>
    <t>732000</t>
  </si>
  <si>
    <t>Tekući grantovi od viših nivoa vlasti</t>
  </si>
  <si>
    <t>732112</t>
  </si>
  <si>
    <t>732113</t>
  </si>
  <si>
    <t>732131</t>
  </si>
  <si>
    <t>733000</t>
  </si>
  <si>
    <t>Donacije od pravnih lica</t>
  </si>
  <si>
    <t>4. KAPITALNI GRANTOVI</t>
  </si>
  <si>
    <t>741000</t>
  </si>
  <si>
    <t>742000</t>
  </si>
  <si>
    <t>742212</t>
  </si>
  <si>
    <t>6. NOVČANA SREDSTVA AKUMULIRANA NA TR</t>
  </si>
  <si>
    <t>Izmjene i dopune Budžeta za 2020 godinu REBALANS</t>
  </si>
  <si>
    <t>Budžet 2021</t>
  </si>
  <si>
    <t>1. TEKUĆI IZDACI</t>
  </si>
  <si>
    <t>Namjenski rashodi</t>
  </si>
  <si>
    <t>4(1+2+3)</t>
  </si>
  <si>
    <t>9(6+7+8)</t>
  </si>
  <si>
    <t>Bruto plaće i naknade</t>
  </si>
  <si>
    <t>611100</t>
  </si>
  <si>
    <t>Bruto plaće</t>
  </si>
  <si>
    <t xml:space="preserve">Naknade troškova zaposlenih  </t>
  </si>
  <si>
    <t>Izdaci za materijal i usluge</t>
  </si>
  <si>
    <t>Putni troškovi</t>
  </si>
  <si>
    <t>Izdaci za energiju</t>
  </si>
  <si>
    <t xml:space="preserve">Izdaci za komunalne usluge </t>
  </si>
  <si>
    <t>Nabavka materijala</t>
  </si>
  <si>
    <t>Izdaci za usluge prijevoza, goriva i registraciju vozila</t>
  </si>
  <si>
    <t>613500</t>
  </si>
  <si>
    <t>Unajmljivanje imovine i opreme</t>
  </si>
  <si>
    <t xml:space="preserve">Izdaci za tekuće održavanje </t>
  </si>
  <si>
    <t>Izdaci za tekuće održavanje iz prenesenih neutrošenih sredstava</t>
  </si>
  <si>
    <t>Izdaci za osiguranje i bankarske usluge</t>
  </si>
  <si>
    <t>Ugovorene usluge</t>
  </si>
  <si>
    <t>Tekući grantovi</t>
  </si>
  <si>
    <t>Grantovi drugim razinama vlasti</t>
  </si>
  <si>
    <t>Grantovi pojedincima</t>
  </si>
  <si>
    <t>Grantovi neprofitnim organizacijama</t>
  </si>
  <si>
    <t>Grantovi neprofitnim organizacijama PS</t>
  </si>
  <si>
    <t>614811</t>
  </si>
  <si>
    <t>Povrat više  ili pogrešno uplaćenih sredstava</t>
  </si>
  <si>
    <t>615000</t>
  </si>
  <si>
    <t>616000</t>
  </si>
  <si>
    <t>Kamata po kreditima</t>
  </si>
  <si>
    <t>9999</t>
  </si>
  <si>
    <t>Ukupni tekući izdaci</t>
  </si>
  <si>
    <t>2.KAPITALNI IZDACI</t>
  </si>
  <si>
    <t>Otplate kredita</t>
  </si>
  <si>
    <t>821000</t>
  </si>
  <si>
    <t>Kapitalni izdaci iz tekućih sredstava- Kapitalni plan budžeta</t>
  </si>
  <si>
    <t>Glava</t>
  </si>
  <si>
    <t>Razdjel</t>
  </si>
  <si>
    <t>Potrošačka jedinica</t>
  </si>
  <si>
    <t>Fond</t>
  </si>
  <si>
    <t>Funkcija</t>
  </si>
  <si>
    <t>Ekonomski kod</t>
  </si>
  <si>
    <t>01</t>
  </si>
  <si>
    <t>00</t>
  </si>
  <si>
    <t>000</t>
  </si>
  <si>
    <t>0111</t>
  </si>
  <si>
    <t>Gradsko Vijeće</t>
  </si>
  <si>
    <t>Administracija Odjela</t>
  </si>
  <si>
    <t>611110</t>
  </si>
  <si>
    <t>Plate  po umanjenju doprinosa</t>
  </si>
  <si>
    <t>611130</t>
  </si>
  <si>
    <t>Doprinosi na teret uposlenika</t>
  </si>
  <si>
    <t>Naknade troškova zaposlenih</t>
  </si>
  <si>
    <t>Regres za godišnji odmor</t>
  </si>
  <si>
    <t>Pomoć u slučaju smrti ili teže invalidnosti</t>
  </si>
  <si>
    <t>Doprinosi poslodavca</t>
  </si>
  <si>
    <t xml:space="preserve">Doprinosi poslodavca </t>
  </si>
  <si>
    <t>613200</t>
  </si>
  <si>
    <t>613300</t>
  </si>
  <si>
    <t xml:space="preserve">Nabavka materijala i stručne literature  </t>
  </si>
  <si>
    <t xml:space="preserve">Izdaci za usluge prijevoza, goriva i  registracija motornih vozila  </t>
  </si>
  <si>
    <t>613700</t>
  </si>
  <si>
    <t>Usluge medija</t>
  </si>
  <si>
    <t>Troškovi reprezentacije</t>
  </si>
  <si>
    <t>Poseban porez  na plaću za zaštitu  od prirodnih i drugih nesreća 0,5%</t>
  </si>
  <si>
    <t>613975 </t>
  </si>
  <si>
    <t>Naknada za rad vijećnika, tijela i komisija Gradskog vijeća Grada Mostara </t>
  </si>
  <si>
    <t>61397/80</t>
  </si>
  <si>
    <t>Naknade biračkim odborima i tehničkim licima</t>
  </si>
  <si>
    <t>613974/80</t>
  </si>
  <si>
    <t>613974/81</t>
  </si>
  <si>
    <t>Komisija za procjenu nekretnina</t>
  </si>
  <si>
    <t>Ostali ugovori</t>
  </si>
  <si>
    <t>613991</t>
  </si>
  <si>
    <t>Ostale nespomenute usluge</t>
  </si>
  <si>
    <t xml:space="preserve">Izdaci za nabavku stalnih sredstava </t>
  </si>
  <si>
    <t>613970</t>
  </si>
  <si>
    <t>614300</t>
  </si>
  <si>
    <t>Pokroviteljstvo gradskih manifestacija</t>
  </si>
  <si>
    <t>Transfer za izbore PS</t>
  </si>
  <si>
    <t>228</t>
  </si>
  <si>
    <t>0112</t>
  </si>
  <si>
    <t>02</t>
  </si>
  <si>
    <t xml:space="preserve">TAJNIŠTVO GRADONAČELNIKA                                                  </t>
  </si>
  <si>
    <t xml:space="preserve">Broj uposlenih </t>
  </si>
  <si>
    <t>Nabavka materijala i stručne literature</t>
  </si>
  <si>
    <t>Izdaci za usluge prijevoza, goriva i  registracija motornih vozila</t>
  </si>
  <si>
    <t>Usluge  obrazovanja i stručnog usavršavanja</t>
  </si>
  <si>
    <t>Izdaci za ugovorene usluge</t>
  </si>
  <si>
    <t>Izdaci za rad komisija</t>
  </si>
  <si>
    <t>Članarina za Savez gradova i općina i druge članarine</t>
  </si>
  <si>
    <t>UNESCO – Projekt svjetske baštine-obaveza učešća u konferencijama</t>
  </si>
  <si>
    <t>613931</t>
  </si>
  <si>
    <t>Grantovi pojedincima i neprofitnim organizacijama</t>
  </si>
  <si>
    <t>Grantovi gradovima</t>
  </si>
  <si>
    <t>1091</t>
  </si>
  <si>
    <t>Novčana pomoć pojedincima</t>
  </si>
  <si>
    <t>O821</t>
  </si>
  <si>
    <t>Novčana pomoć neprofitnim organizacijama-jednokratne pomoći</t>
  </si>
  <si>
    <t>O811</t>
  </si>
  <si>
    <t>999999</t>
  </si>
  <si>
    <t>Izdaci za komunalne usluge</t>
  </si>
  <si>
    <t>Izdaci za računarske usluge</t>
  </si>
  <si>
    <t>821300</t>
  </si>
  <si>
    <t>Nabavka stalnih sredstava</t>
  </si>
  <si>
    <t>03</t>
  </si>
  <si>
    <t xml:space="preserve">SLUŽBA UNUTRAŠNJEG NADZORA                  </t>
  </si>
  <si>
    <t>Broj uposlenih</t>
  </si>
  <si>
    <t>04</t>
  </si>
  <si>
    <t xml:space="preserve"> ODJEL ORGANIZACIJE, PRAVNIH POSLOVA, OPĆE UPRAVE, CIVILNE ZAŠTITE I VATROGASTVA </t>
  </si>
  <si>
    <t>Izdaci za unajmljivanje imovine i opreme</t>
  </si>
  <si>
    <t>Izdaci za tekuće održavanje stalnih sredstava</t>
  </si>
  <si>
    <t>Osiguranje vozila- za vozila na lizing</t>
  </si>
  <si>
    <t>Osiguranje  zaposlenih i objekata u vlasništvu Grada Mostara</t>
  </si>
  <si>
    <t>Usluge štampanja i oglašavanja</t>
  </si>
  <si>
    <t>Izdaci za matičare</t>
  </si>
  <si>
    <t>613990</t>
  </si>
  <si>
    <t xml:space="preserve">Ostale nespomenute usluge </t>
  </si>
  <si>
    <t>Sistematski pregled uposlenika</t>
  </si>
  <si>
    <t>616339</t>
  </si>
  <si>
    <t>Naknada vezana za pozajmljivanje od domaćeg pozajmljivača-lizing za vozila</t>
  </si>
  <si>
    <t>823000</t>
  </si>
  <si>
    <t>Lizing za vozila</t>
  </si>
  <si>
    <t xml:space="preserve">Nabavka softwera-licenca </t>
  </si>
  <si>
    <t>0320</t>
  </si>
  <si>
    <t>Izdaci za ostale komunalne usluge CZ- iz namjenskih sredstava za elementarne nepogode Intervetne mjere</t>
  </si>
  <si>
    <t>613000</t>
  </si>
  <si>
    <t>Izdaci za preventivne mjere</t>
  </si>
  <si>
    <t>Obuka struktura CZ</t>
  </si>
  <si>
    <t>613400</t>
  </si>
  <si>
    <t>Nabavka materijala za Vatrogastvo</t>
  </si>
  <si>
    <t>Izdaci za usluge prijevoza, goriva i  registracija motornih vozila-Vatrogastvo</t>
  </si>
  <si>
    <t>613511</t>
  </si>
  <si>
    <t>Izdaci za gorivo CZ</t>
  </si>
  <si>
    <t>613512</t>
  </si>
  <si>
    <t>Izdaci za gorivo CZ PS</t>
  </si>
  <si>
    <t>Izdaci za tekuće održavanje-CZ</t>
  </si>
  <si>
    <t>Izdaci za tekuće održavanje-Vatrogastvo</t>
  </si>
  <si>
    <t>613920</t>
  </si>
  <si>
    <t>Izdaci za rad komisija CZ- procjena šteta</t>
  </si>
  <si>
    <t>Ostale nespomenute usluge CZ</t>
  </si>
  <si>
    <t>0319</t>
  </si>
  <si>
    <t>614100</t>
  </si>
  <si>
    <t>0321</t>
  </si>
  <si>
    <t>614411</t>
  </si>
  <si>
    <t>821200</t>
  </si>
  <si>
    <t>Nabavka građevina</t>
  </si>
  <si>
    <t>Nabavka opreme za vatrogasnu djelatnost</t>
  </si>
  <si>
    <t>05</t>
  </si>
  <si>
    <t xml:space="preserve">ODJEL ZA FINANCIJE I NEKRETNINE               </t>
  </si>
  <si>
    <t>Izdaci za komunalne usluge imovine u vlasništvu grada Mostara</t>
  </si>
  <si>
    <t>Bankarske usluge</t>
  </si>
  <si>
    <t>613976/86</t>
  </si>
  <si>
    <t>Izdaci za troškove vještačenja</t>
  </si>
  <si>
    <t>613974</t>
  </si>
  <si>
    <t>613986</t>
  </si>
  <si>
    <t>Izdaci za poreze i doprinose na dohodak i drugih samostalnih djelatnosti</t>
  </si>
  <si>
    <t>Troškovi prinudnih izvršenja</t>
  </si>
  <si>
    <t>111</t>
  </si>
  <si>
    <t>O112</t>
  </si>
  <si>
    <t>224</t>
  </si>
  <si>
    <t>Izdaci za eksproprijacija i uknjiženi korisnici  po projektima iz prenesenih neutrošenih sredstava</t>
  </si>
  <si>
    <t>Otplata kredita</t>
  </si>
  <si>
    <t>06</t>
  </si>
  <si>
    <t xml:space="preserve">ODJEL DRUŠTVENIH DJELATNOSTI                 </t>
  </si>
  <si>
    <t>Nabavka opreme</t>
  </si>
  <si>
    <t>0821</t>
  </si>
  <si>
    <t>Služba za kulturu</t>
  </si>
  <si>
    <t>Manifestacije iz oblasti kulture</t>
  </si>
  <si>
    <t>Grant za tradicionalne manifestacije iz oblasti kulture</t>
  </si>
  <si>
    <t>Grantovi za manifestacije iz oblasti kulture</t>
  </si>
  <si>
    <t>Troškovi gostovaja ustanova na međunarodnim i domaćim smotrama</t>
  </si>
  <si>
    <t>UNESCO - Stari most - obilježavanje godišnjice obnove mosta</t>
  </si>
  <si>
    <t>Red Bull skokovi - kulturne manifestacija u Mostaru</t>
  </si>
  <si>
    <t xml:space="preserve">Sufinanciranje projekata iz oblasti kulture financiranih iz EU fondova </t>
  </si>
  <si>
    <t xml:space="preserve">Manifestacije  iz  društvenih oblasti </t>
  </si>
  <si>
    <t>444</t>
  </si>
  <si>
    <t>Federalno  ministarstvo kulture i sporta</t>
  </si>
  <si>
    <t>111/444</t>
  </si>
  <si>
    <t>Grant za Novu godinu- na otvorenom i Zimski grad</t>
  </si>
  <si>
    <t>Grant za Novu godinu- na otvorenom i Zimski grad HNK PS</t>
  </si>
  <si>
    <t>Donacije od pravnih lica PS Cola i BH Teklekom</t>
  </si>
  <si>
    <t>Grantovi neprofitnim organizacijama-kultura</t>
  </si>
  <si>
    <t xml:space="preserve">OO11 Muzej Hercegovine </t>
  </si>
  <si>
    <t xml:space="preserve">O13 Dječja biblioteka </t>
  </si>
  <si>
    <t xml:space="preserve">O14 HDHS Kosača </t>
  </si>
  <si>
    <t xml:space="preserve">O15 Kulturni centar Potoci </t>
  </si>
  <si>
    <t xml:space="preserve">O16 Centar za kulturu </t>
  </si>
  <si>
    <t xml:space="preserve">O17 Kulturni centar- Dom kulture Blagaj </t>
  </si>
  <si>
    <t xml:space="preserve">O18 MC "Pavarotti" </t>
  </si>
  <si>
    <t>O19 Narodno pozorište</t>
  </si>
  <si>
    <t>155 Hrvatsko narodno kazalište</t>
  </si>
  <si>
    <t xml:space="preserve">O21 Lutkarsko kazalište </t>
  </si>
  <si>
    <t xml:space="preserve">O22 Pozorište lutaka </t>
  </si>
  <si>
    <t xml:space="preserve">O23 Simfonijski orkestar </t>
  </si>
  <si>
    <t>Transfer za kulturu</t>
  </si>
  <si>
    <t>Gran za 10 godišnjicu UNESKO Stari most</t>
  </si>
  <si>
    <t>0900</t>
  </si>
  <si>
    <t>Služba za odgoj, obrazovanje, mlade i sport</t>
  </si>
  <si>
    <t>0911</t>
  </si>
  <si>
    <t xml:space="preserve">024 JU Dječji vrtić "Ciciban" </t>
  </si>
  <si>
    <t>025 Dječji vrtić MOSTAR</t>
  </si>
  <si>
    <t>026 "Los Rosales"</t>
  </si>
  <si>
    <t>086 Osnovna škola za djecu s posebnim potrebama</t>
  </si>
  <si>
    <t>027 Dječji vrtić "Sunčani most"</t>
  </si>
  <si>
    <t>614125</t>
  </si>
  <si>
    <t>UNICEF - Za projekat resornih soba za djecu predškolskog uzrasta</t>
  </si>
  <si>
    <t>Investicijsko održavanje i opremanje objekata-nabavka opreme</t>
  </si>
  <si>
    <t>Sistematski ljekarski pregled uposlenih</t>
  </si>
  <si>
    <t>0912</t>
  </si>
  <si>
    <t>028 OŠ Mustafa Ejubović Šejh Jujo</t>
  </si>
  <si>
    <t>029 IV osnovna škola</t>
  </si>
  <si>
    <t>030 VI osnovna škola</t>
  </si>
  <si>
    <t xml:space="preserve"> 031 Osnovna škola Mujaga Komadina</t>
  </si>
  <si>
    <t>032 Osnovna škola Zalik</t>
  </si>
  <si>
    <t>033 Osnovna  škola za djecu sa posebnim potrebama Los Rosales</t>
  </si>
  <si>
    <t>034 O.Š. A.B. Šimića</t>
  </si>
  <si>
    <t>035 O.Š. S.S. Kranjčevića</t>
  </si>
  <si>
    <t>036 O.Š  Ilići</t>
  </si>
  <si>
    <t>037 O.Š Cim</t>
  </si>
  <si>
    <t>038 III Osnovna škola</t>
  </si>
  <si>
    <t>039 O.Š. Bartola Kašića</t>
  </si>
  <si>
    <t>040 O.Š. Petra Bakule</t>
  </si>
  <si>
    <t>041 Osnovna škola za djecu s posebnim potrebama</t>
  </si>
  <si>
    <t>042 O.Š. Blagaj</t>
  </si>
  <si>
    <t>043 O Š. Gnojnice</t>
  </si>
  <si>
    <t>044 O.Š Omer Maksumić</t>
  </si>
  <si>
    <t>045 O.Š. Ivana Gundulića</t>
  </si>
  <si>
    <t>046 O.Š. Ilije Jakovljevića</t>
  </si>
  <si>
    <t>047 O.Š. Marina Držića</t>
  </si>
  <si>
    <t>048 O.Š Kruševo</t>
  </si>
  <si>
    <t>049 O.Š. Bijelo Polje</t>
  </si>
  <si>
    <t>050 O.Š. Vrapčići</t>
  </si>
  <si>
    <t>051 O.Š. Drežnica</t>
  </si>
  <si>
    <t>Troškovi pregleda učenika-sistematski pregledi</t>
  </si>
  <si>
    <t>613970/81</t>
  </si>
  <si>
    <t>Troškovi prijevoza učenika  u osnovnim školama</t>
  </si>
  <si>
    <t xml:space="preserve">Troškovi prijevoza učenika </t>
  </si>
  <si>
    <t>615311</t>
  </si>
  <si>
    <t>Tekuće održavanje škola</t>
  </si>
  <si>
    <t>614322</t>
  </si>
  <si>
    <t>Manifestacije iz oblasti obrazovanja, učenička takmičenja, priredbe i sl.</t>
  </si>
  <si>
    <t>Ostali nespomenuti izdaci</t>
  </si>
  <si>
    <t>614311</t>
  </si>
  <si>
    <t>Tekući transferi za ostale neprofitne  organizacije</t>
  </si>
  <si>
    <t>O54 Jevrejska općina Mostar</t>
  </si>
  <si>
    <t>O55 Udruženje Roma "Neretva" Mostar</t>
  </si>
  <si>
    <t>O57 Vijeće mladih</t>
  </si>
  <si>
    <t>554 Centar za tehničku kulturu Mostar</t>
  </si>
  <si>
    <t>614234</t>
  </si>
  <si>
    <t>Izdaci za mlade</t>
  </si>
  <si>
    <t>O912</t>
  </si>
  <si>
    <t>Stipendije studentima i učenicima</t>
  </si>
  <si>
    <t>Sufinanciranje projekata po eksternim natječajima</t>
  </si>
  <si>
    <t>614324</t>
  </si>
  <si>
    <t>Grant za START UP za mlade</t>
  </si>
  <si>
    <t>0811</t>
  </si>
  <si>
    <t>Izdaci za sport</t>
  </si>
  <si>
    <t>058 Sportski savez Grada Mostara</t>
  </si>
  <si>
    <t>Red Bull skokovi</t>
  </si>
  <si>
    <t>Manifestacije iz oblasti sporta</t>
  </si>
  <si>
    <t>Služba za socijalne i stambene poslove, zdravstvo,raseljene osobe i izbjeglice</t>
  </si>
  <si>
    <t>Transferi za nevladine organizacije - za socijalnu zaštitu</t>
  </si>
  <si>
    <t xml:space="preserve">061 Udruga za radno osposobljavanje osoba s poseb. Potrebama "Nazaret" </t>
  </si>
  <si>
    <t>062 Caritas</t>
  </si>
  <si>
    <t>063 Merhamet</t>
  </si>
  <si>
    <t>064 Crveni krst Grada Mostara</t>
  </si>
  <si>
    <t xml:space="preserve">278 Udruženje slijepih i slabovidnih građana Mostara </t>
  </si>
  <si>
    <t>457 "Udruga pužnica"</t>
  </si>
  <si>
    <t>414 Udruga Vedri osmjeh</t>
  </si>
  <si>
    <t>493Udruga Naša djeca- OurKids BiH</t>
  </si>
  <si>
    <t>486 Udruženje Minores - centar za beskućnike</t>
  </si>
  <si>
    <t>487 Udruženje Altruist -dnevni centar za djecu u skitnji i prosjačenju</t>
  </si>
  <si>
    <t>Izdaci za održavanje stanova</t>
  </si>
  <si>
    <t>Izdaci za održavanje socijalnih stanova</t>
  </si>
  <si>
    <t>MINISTARSTVO FINANCIJA BIH</t>
  </si>
  <si>
    <t>Pomoć pri uključenju u BIH  društvo korisnika IPC Salakovac</t>
  </si>
  <si>
    <t>Grant od države readmisisjko stanovanje</t>
  </si>
  <si>
    <t>Transferi za ustanove socijalne i zdravstvene zaštite</t>
  </si>
  <si>
    <t>069 Centar za stara i iznemogla lica</t>
  </si>
  <si>
    <t xml:space="preserve">070 Dječji dom </t>
  </si>
  <si>
    <t>071 Centar za posebne potrebe "Los Rosales"</t>
  </si>
  <si>
    <t>072 Javna/pučka kuhinja</t>
  </si>
  <si>
    <t>073 Dom zdravlja-</t>
  </si>
  <si>
    <t>Centar za socijalni rad Grada Mostar</t>
  </si>
  <si>
    <t xml:space="preserve">Tekući troškovi poslovanja </t>
  </si>
  <si>
    <t>Finansiranje djelatnosti po Zakonu o socijalnoj zaštiti</t>
  </si>
  <si>
    <t>Alternativni smještaj</t>
  </si>
  <si>
    <t>Subvencije građanima za komunalne usluge</t>
  </si>
  <si>
    <t>1061</t>
  </si>
  <si>
    <t>Izdaci za tekuće održavanje - za stambene objekte "Buffer naselje"</t>
  </si>
  <si>
    <t>Služba za zaštitu prava branitelja i njihovih obitelji</t>
  </si>
  <si>
    <t>Braniteljska populacija (udruge) proistekla iz rata '92.-'95.</t>
  </si>
  <si>
    <t xml:space="preserve">075 Jedinstvena organizacija boraca </t>
  </si>
  <si>
    <t>077 Organizacija porodica šehida</t>
  </si>
  <si>
    <t>078 HVIDRA Mostar</t>
  </si>
  <si>
    <t>079 Udruga dragovoljaca i veterana domovinskog rata HZHB</t>
  </si>
  <si>
    <t xml:space="preserve">080 Udruga udovica hrvatskih branitelja u Domovinskom ratu </t>
  </si>
  <si>
    <t xml:space="preserve">082 Hrvatska udruga logoraša Domovinskog rata </t>
  </si>
  <si>
    <t>083 Udruženje logoraša "Mostar" Mostar</t>
  </si>
  <si>
    <t>084 Udruženje civilnih žrtava rata</t>
  </si>
  <si>
    <t>Obilježavanje prigodnih godišnjica</t>
  </si>
  <si>
    <t>07</t>
  </si>
  <si>
    <t xml:space="preserve">ODJEL ZA URBANIZAM I GRAĐENJE </t>
  </si>
  <si>
    <t>0621</t>
  </si>
  <si>
    <t>Izdaci za tehnički prijem</t>
  </si>
  <si>
    <t>Troškovi vještačenja</t>
  </si>
  <si>
    <t>Izdaci za nabavku stalnih sredstava</t>
  </si>
  <si>
    <t>0600</t>
  </si>
  <si>
    <t>Služba za građenje i obnovu</t>
  </si>
  <si>
    <t>Organiziranje Dana EE u Gradu Mostaru</t>
  </si>
  <si>
    <t xml:space="preserve">Edukacija i školovanje kadrova Tima EE </t>
  </si>
  <si>
    <t>Direkcija za izradu kulturno-sportskog centra</t>
  </si>
  <si>
    <t>555</t>
  </si>
  <si>
    <t>IRENE: Interregional CBC IPA</t>
  </si>
  <si>
    <t>Projekat IRENE PS</t>
  </si>
  <si>
    <t>IMPULSE-Integrated MED</t>
  </si>
  <si>
    <t>229</t>
  </si>
  <si>
    <t>Služba za građenje infrastrukturnih objekata</t>
  </si>
  <si>
    <t>Gradsko područje - SJEVER</t>
  </si>
  <si>
    <t xml:space="preserve">Gradsko područje - STARI GRAD </t>
  </si>
  <si>
    <t>Gradsko područje - JUGOISTOK</t>
  </si>
  <si>
    <t xml:space="preserve">Gradsko područje - JUG </t>
  </si>
  <si>
    <t>Gradsko područje - JUG Iz prenesenih neutrrošenih sredstava</t>
  </si>
  <si>
    <t xml:space="preserve">Gradsko područje - JUGOZAPAD </t>
  </si>
  <si>
    <t>Gradsko područje - JUGOZAPAD Iz prenesenih neutrrošenih sredstava</t>
  </si>
  <si>
    <t>Gradsko područje - ZAPAD</t>
  </si>
  <si>
    <t>Gradsko područje - ZAPAD Iz prenesenih neutrrošenih sredstava</t>
  </si>
  <si>
    <t>Gradsko područje-CENTRALNA-SREDIŠNJA ZONA</t>
  </si>
  <si>
    <t>Gradsko područje - GRAD</t>
  </si>
  <si>
    <t>225</t>
  </si>
  <si>
    <t>226</t>
  </si>
  <si>
    <t>Služba za katastar</t>
  </si>
  <si>
    <t>08</t>
  </si>
  <si>
    <t xml:space="preserve">ODJEL ZA GOSPODARSTVO, KOMUNALNE I INSPEKCIJSKE POSLOVE </t>
  </si>
  <si>
    <t>91*</t>
  </si>
  <si>
    <t>0411</t>
  </si>
  <si>
    <t>Služba za gospodarstvo</t>
  </si>
  <si>
    <t>Ekonomski poslovi</t>
  </si>
  <si>
    <t>Učešće na sajmovima</t>
  </si>
  <si>
    <t xml:space="preserve">Promocija Grada Mostara </t>
  </si>
  <si>
    <t>Transfer za sajmove</t>
  </si>
  <si>
    <t>REDAH</t>
  </si>
  <si>
    <t>0491</t>
  </si>
  <si>
    <t>Grant-Projekat sadnje maslina-revolving sredstva</t>
  </si>
  <si>
    <t>Sadnja Bilja</t>
  </si>
  <si>
    <t>111/555</t>
  </si>
  <si>
    <t>Grant od Federacije Stari zanati</t>
  </si>
  <si>
    <t xml:space="preserve"> Projekat Ritour iz TS</t>
  </si>
  <si>
    <t>821001</t>
  </si>
  <si>
    <t>445</t>
  </si>
  <si>
    <t>446</t>
  </si>
  <si>
    <t>Poljoprivreda-teren-evidencije polj. Zemljišta-ostalo Novo-početak rada i pripreme evidencija, izviješća, teren??? Na razmatranje</t>
  </si>
  <si>
    <t>614400</t>
  </si>
  <si>
    <t>Služba za komunalne poslove i zaštitu okoline</t>
  </si>
  <si>
    <t>Zajednička komunalna potrošnja</t>
  </si>
  <si>
    <t>0641</t>
  </si>
  <si>
    <t>Troškovi utroška javne rasvjete</t>
  </si>
  <si>
    <t>0561</t>
  </si>
  <si>
    <t xml:space="preserve">Održavanje čistoće </t>
  </si>
  <si>
    <t>Kafilerijski poslovi</t>
  </si>
  <si>
    <t>613324</t>
  </si>
  <si>
    <t>Održavanje zelenila po programu ZKP</t>
  </si>
  <si>
    <t>0661</t>
  </si>
  <si>
    <t>613329</t>
  </si>
  <si>
    <t>Urbani mobilijar i dekoracija</t>
  </si>
  <si>
    <t>0521</t>
  </si>
  <si>
    <t>Održavanje hidrotehničkih objekata u Gradu po programu ZKP</t>
  </si>
  <si>
    <t>Zaštita okoline po programu ZKP-a</t>
  </si>
  <si>
    <t>Održavanje Aleje platana</t>
  </si>
  <si>
    <t>Skupljane i odvoz kabastog otpada</t>
  </si>
  <si>
    <t xml:space="preserve">Tekuće održavanje </t>
  </si>
  <si>
    <t>Održavanje cesta</t>
  </si>
  <si>
    <t>613727</t>
  </si>
  <si>
    <t xml:space="preserve">Taxi stajališta </t>
  </si>
  <si>
    <t>Probni rad  pročistača/bez troškova el.energije/</t>
  </si>
  <si>
    <t>Subvencije javnim preduzećima</t>
  </si>
  <si>
    <t>615411</t>
  </si>
  <si>
    <t>Nabavka kanti za otpatke i drveni štandovi</t>
  </si>
  <si>
    <t>821221</t>
  </si>
  <si>
    <t>821372</t>
  </si>
  <si>
    <t>Nabavka urbanog mobilijara</t>
  </si>
  <si>
    <t>821618</t>
  </si>
  <si>
    <t>Upravljanje otpadom-uređenje lokacija za kontejnere</t>
  </si>
  <si>
    <t>Rekonstrukcija fontana i javnih izljeva</t>
  </si>
  <si>
    <t>821521</t>
  </si>
  <si>
    <t>Izrada studije utjecaja na okoliš za aktivnosti deponiranja krutog komunalnog otpada</t>
  </si>
  <si>
    <t>Grant od HNK-sadnja dedenflore</t>
  </si>
  <si>
    <t>Služba za inspekcijske poslove</t>
  </si>
  <si>
    <t>Troškovi inspekcijskih izvršenja</t>
  </si>
  <si>
    <t>613327</t>
  </si>
  <si>
    <t>Služba za podršku biznisa</t>
  </si>
  <si>
    <t>Projekt COOPeR - INTERREG IPA CBC HR-BA-ME</t>
  </si>
  <si>
    <t>112</t>
  </si>
  <si>
    <t>Grant HNK - ogledni nasad maslina, sufinansiranje projekta COOPeR</t>
  </si>
  <si>
    <t xml:space="preserve">Projektni zadaci  BSC-a </t>
  </si>
  <si>
    <t>09</t>
  </si>
  <si>
    <t xml:space="preserve"> Stručna služba Gradskog vijeća</t>
  </si>
  <si>
    <t>Izdaci za usluge prijevoza, goriva, registracija motornih vozila</t>
  </si>
  <si>
    <t>613600</t>
  </si>
  <si>
    <t>Unajmljivanje imovine</t>
  </si>
  <si>
    <t>Ostale stručne usluge</t>
  </si>
  <si>
    <t>Izdaci za kompjuterske  usluge</t>
  </si>
  <si>
    <t>10</t>
  </si>
  <si>
    <t xml:space="preserve"> JAVNO PRAVOBRANITELJSTVO       </t>
  </si>
  <si>
    <t>Izdaci za gorivo</t>
  </si>
  <si>
    <t>Izdaci za tekuće održavanje</t>
  </si>
  <si>
    <t>Usluge obrazovanja i stručnog usavršavanja</t>
  </si>
  <si>
    <t>613976/613980</t>
  </si>
  <si>
    <t>613980</t>
  </si>
  <si>
    <t>Izdaci za kompjuterske usluge</t>
  </si>
  <si>
    <t xml:space="preserve">Nabavka stalnih sredstava </t>
  </si>
  <si>
    <t>11</t>
  </si>
  <si>
    <t>AGENCIJA "STARI GRAD"</t>
  </si>
  <si>
    <t>Nabavka materijala i sitnog inventara</t>
  </si>
  <si>
    <t>Izdaci za usluge prevoza i goriva</t>
  </si>
  <si>
    <t>Ugovorene usluge i druge posebne usluge</t>
  </si>
  <si>
    <t>613934</t>
  </si>
  <si>
    <t>Kompjuterske usluge</t>
  </si>
  <si>
    <t>613970/613980</t>
  </si>
  <si>
    <t>Nabavka stalnih sredstavaiz prenesenih sredstava ASG  -Kapitalni budžet  PS</t>
  </si>
  <si>
    <t>Aga-Kan -kapitalne investicije Iz prenesenih neutrrošenih sredstava PS</t>
  </si>
  <si>
    <t>Index</t>
  </si>
  <si>
    <t>06/1</t>
  </si>
  <si>
    <t>Izdaci za kulturu</t>
  </si>
  <si>
    <t>06/2</t>
  </si>
  <si>
    <t>Kapitalni grantovi</t>
  </si>
  <si>
    <t>06/3</t>
  </si>
  <si>
    <t>Transfer za Centar za socijalni rad</t>
  </si>
  <si>
    <t>Tekući grantovi neprofitnim organizacijama</t>
  </si>
  <si>
    <t>Izdaci za nabavku stalnih sredstva</t>
  </si>
  <si>
    <t>06/4</t>
  </si>
  <si>
    <t>07/3</t>
  </si>
  <si>
    <t>07/4</t>
  </si>
  <si>
    <t>07/5</t>
  </si>
  <si>
    <t>08/1</t>
  </si>
  <si>
    <t>08/2</t>
  </si>
  <si>
    <t>Služba za komunalne poslove i zaštitu okoliša</t>
  </si>
  <si>
    <t>Izdaci za elektrićnu energiju</t>
  </si>
  <si>
    <t>0662</t>
  </si>
  <si>
    <t>Transfer za obrazovanje- nabolje sređeno školsko dvorište</t>
  </si>
  <si>
    <t>08/3</t>
  </si>
  <si>
    <t>08/4</t>
  </si>
  <si>
    <t>444/229</t>
  </si>
  <si>
    <t>0814</t>
  </si>
  <si>
    <t>Ukupno</t>
  </si>
  <si>
    <t>Služba za katarstar</t>
  </si>
  <si>
    <t>01 Opšte javne usluge</t>
  </si>
  <si>
    <t>03 Javni red i sigurnost</t>
  </si>
  <si>
    <t>04 Ekonomski poslovi</t>
  </si>
  <si>
    <t>05 Zaštita životne sredine</t>
  </si>
  <si>
    <t>06 Stambeni i zajednicki poslovi</t>
  </si>
  <si>
    <t>08 Rekreacija, kultura i religija</t>
  </si>
  <si>
    <t>09 Obrazovanje</t>
  </si>
  <si>
    <t>10 Socijalna zaštita</t>
  </si>
  <si>
    <t>Naknade po osnovu građenja i građevnog zemljišta</t>
  </si>
  <si>
    <t>SJEVER</t>
  </si>
  <si>
    <t>STARI  GRAD</t>
  </si>
  <si>
    <t>JUGOISTOK</t>
  </si>
  <si>
    <t xml:space="preserve"> JUG</t>
  </si>
  <si>
    <t>JUGOZAPAD</t>
  </si>
  <si>
    <t>ZAPAD</t>
  </si>
  <si>
    <t>Centralan zona</t>
  </si>
  <si>
    <t>GRAD</t>
  </si>
  <si>
    <t>111/229</t>
  </si>
  <si>
    <t>111/0229</t>
  </si>
  <si>
    <t>Podrška Animal care centru (dodjela sredstava)</t>
  </si>
  <si>
    <t>Izvori finansiranja</t>
  </si>
  <si>
    <t>Neutrošena sredstva iz prethodnih godina</t>
  </si>
  <si>
    <t>Sredastav na namjenskon računu Grada Mostara poslovni prostori 40%</t>
  </si>
  <si>
    <t>Rekonstrukcija kuće u Liska za prodaju niskotarifnih avio-karata</t>
  </si>
  <si>
    <t>Rekonstrukcija Karađozbegovog mosta u Blagaju</t>
  </si>
  <si>
    <t>Gradska banja</t>
  </si>
  <si>
    <t>Popravak postojećeg dimnjaka na kuli Halebiji</t>
  </si>
  <si>
    <t>Grant za kulu HSK Blagaj</t>
  </si>
  <si>
    <t>Račun Agencije Stari grad</t>
  </si>
  <si>
    <t>Aga Kan</t>
  </si>
  <si>
    <t>Tekuće održ. enter.i eksterijera u Starom grad Mostaru</t>
  </si>
  <si>
    <t>Izrada proj. uklanj. nestabil. dijelova Više djev.škole, konzerv. i konstrukt. ojačanja iste.</t>
  </si>
  <si>
    <t>Izvršavanje Rješenja Fed. uprave za inspek. poslove</t>
  </si>
  <si>
    <t>Izrada projekata revitalizacije u Oneščukovoj, Tabhani, Titova itd.</t>
  </si>
  <si>
    <t>Restauracija Karadžozbegova mosta u Blagaju (pripremni rad)</t>
  </si>
  <si>
    <t>Tekuće održavanje u Historijskom gradskom području Blagaj</t>
  </si>
  <si>
    <t>Tekuće održ. Krova Gradskog kupatila "Banje" u Mostaru</t>
  </si>
  <si>
    <t>Izrada elaborata procjene stanja konstrukcije Starog mosta</t>
  </si>
  <si>
    <t>prijenos iz ranijih godina</t>
  </si>
  <si>
    <t>I Prihodi-Opći dio</t>
  </si>
  <si>
    <t>Ugovorene usluge iz prenesenih neutrošenih sredstava</t>
  </si>
  <si>
    <t>Sufinansiranje javnih preduzeća</t>
  </si>
  <si>
    <t>Kapitalni transferi za sufinansiranje  projekata</t>
  </si>
  <si>
    <t>Kapitalni transferi za sufinansiranje  projekata - prenos iz neutrošenih sredstava</t>
  </si>
  <si>
    <t>II. Rashodi i izdaci-opći dio</t>
  </si>
  <si>
    <t>4=1+2+3</t>
  </si>
  <si>
    <t>6. UKUPNO PLANIRANi PRIHODI</t>
  </si>
  <si>
    <t>Kapitalni grantovi od viših nivoa vlasti</t>
  </si>
  <si>
    <t>Služba za privredu</t>
  </si>
  <si>
    <t>Bruto plate</t>
  </si>
  <si>
    <t>Bruto plate  i naknade</t>
  </si>
  <si>
    <t>Doprinosi na teret zaposlenih</t>
  </si>
  <si>
    <t>Naknade troškova prijevoza</t>
  </si>
  <si>
    <t>Naknade za topli obrok</t>
  </si>
  <si>
    <t>Izdaci za energiju  - Izborna komisija</t>
  </si>
  <si>
    <t>Izdaci za komunalne usluge - Izborna komisija</t>
  </si>
  <si>
    <t>Izdaci za tekuće održavanje - Izborna komisija</t>
  </si>
  <si>
    <t>Izdaci za rad  Žalbenog vijeća</t>
  </si>
  <si>
    <t>Naknade za članove komisija</t>
  </si>
  <si>
    <t>Finansiranje parlamentarnih grupa (vijećnika) u Gradskom vijeću</t>
  </si>
  <si>
    <t>GRADSKO VIJEĆE</t>
  </si>
  <si>
    <t>Administracija Vijeća</t>
  </si>
  <si>
    <t>Administracija Tajništva</t>
  </si>
  <si>
    <t>Izdaci za poreze za ugovorene usluge</t>
  </si>
  <si>
    <t>Troškovi eksterne revizije</t>
  </si>
  <si>
    <t>Administracija Jedinice</t>
  </si>
  <si>
    <t xml:space="preserve">Bruto plate </t>
  </si>
  <si>
    <t>Administracija Službe</t>
  </si>
  <si>
    <t>Plate po umanjenju doprinosa</t>
  </si>
  <si>
    <t>Izdaci za usluge prijevoza, goriva i  registraciju motornih vozila</t>
  </si>
  <si>
    <t xml:space="preserve">ODJEL ORGANIZACIJE, PRAVNIH POSLOVA, OPĆE UPRAVE, CIVILNE ZAŠTITE I VATROGASTVA </t>
  </si>
  <si>
    <t>Otpremnine zbog odlaska u penziju-prekobrojni</t>
  </si>
  <si>
    <t>Izdaci za preventivne mjere  - PS 2019.g.</t>
  </si>
  <si>
    <t>Služba za civilnu zaštitu (CZ) i vatrogastvo</t>
  </si>
  <si>
    <t xml:space="preserve">Izdaci za materijal i usluge CZ - Troškovi funkcioniranja službe i štaba CZ </t>
  </si>
  <si>
    <t>Izdaci za materijal i usluge CZ - Troškovi funkcioniranja službe i štaba CZ PS 2019.g.</t>
  </si>
  <si>
    <t>Izdaci za ostale komunalne usluge CZ- iz namjenskih sredstava za elementarne nepogode Intervetne mjere  - preneseno stanje (PS) 2019.g.</t>
  </si>
  <si>
    <t>Osiguranje  zaposlenih- Vatrogastvo</t>
  </si>
  <si>
    <t>Usluge  obrazovanja i stručnog usavršavanja  -  Vatrogastvo</t>
  </si>
  <si>
    <t>Izdaci za rad Štaba CZ</t>
  </si>
  <si>
    <t>Ostale nespomenute usluge za Vatrogastvo</t>
  </si>
  <si>
    <t>Sistematski pregled - Vatrogastvo</t>
  </si>
  <si>
    <t>Intervetne mjere  - tekuća godina</t>
  </si>
  <si>
    <t>Nabavka opreme za CZ</t>
  </si>
  <si>
    <t xml:space="preserve">ODJEL ZA FINANSIJE I NEKRETNINE               </t>
  </si>
  <si>
    <t>Bruto plate i naknade</t>
  </si>
  <si>
    <t>Izdaci za troškove električne energije  - Gradska  banja i ostali poslovni prostori</t>
  </si>
  <si>
    <t xml:space="preserve">Troškovi tekućeg održavanja poslovnih prostora </t>
  </si>
  <si>
    <t>Troškovi održavanja softvera</t>
  </si>
  <si>
    <t>Troškovi zateznih kamata i troškova spora</t>
  </si>
  <si>
    <t xml:space="preserve">Troškovi sudskih sporova/presuda </t>
  </si>
  <si>
    <t>Izdaci za rad inventurnih i drugih komisija</t>
  </si>
  <si>
    <t>Uplanjenje gradskih objekata</t>
  </si>
  <si>
    <t>Povrat više ili pogrešno uplaćenih sredstava</t>
  </si>
  <si>
    <t>Kamate za kredite World Bank</t>
  </si>
  <si>
    <t>Poseban porez  na platu za zaštitu  od prirodnih i drugih nesreća 0,5%</t>
  </si>
  <si>
    <t>Poseban porez na platu za zaštitu od prirodnih i drugih nesreća 0,5%</t>
  </si>
  <si>
    <t>Poseban porez na platu za zaštitu  od prirodnih i drugih nesreća 0,5%</t>
  </si>
  <si>
    <t>Kapitalni grant</t>
  </si>
  <si>
    <t xml:space="preserve">Izdaci za prijevoz </t>
  </si>
  <si>
    <t>Služba za socijalne i stambene poslove, zdravstvo, raseljene osobe i izbjeglice</t>
  </si>
  <si>
    <t>Grant pojedincima iz sredstava CZ-elementarne nepogode -  TS</t>
  </si>
  <si>
    <t>Grant pojedincima iz sredstava CZ-elementarne nepogode - PS</t>
  </si>
  <si>
    <t>Grant neprofitnim organizacijama iz sredstava CZ-elementarne nepogode  - TS</t>
  </si>
  <si>
    <t>Grant neprofitnim organizacijama iz sredstava CZ-elementarne nepogode  - PS</t>
  </si>
  <si>
    <t>Subvencije javnim preduzećima Grada Mostara  - TS</t>
  </si>
  <si>
    <t>Subvencije javnim preduzećima Grada Mostara  - PS</t>
  </si>
  <si>
    <t xml:space="preserve">Nabavka opreme i građevina za civilnu zaštitu  - PS </t>
  </si>
  <si>
    <t>Nabavka opreme za vatrogasnu djelatnost -  PS 2019.g.</t>
  </si>
  <si>
    <t>Nabavka opreme za vatrogasnu djelatnost  - PS</t>
  </si>
  <si>
    <t xml:space="preserve"> Bruto plate i naknade</t>
  </si>
  <si>
    <t>Izdaci za tehnički prijem  - PS</t>
  </si>
  <si>
    <t>Ostale nespomenute usluge - korištenje zemlje uz ceste FBiH i Kantona/Županije</t>
  </si>
  <si>
    <t>Kapitalni izdaci po gradskim područjima</t>
  </si>
  <si>
    <t>Gradsko područje - Sjever</t>
  </si>
  <si>
    <t>Gradsko područje - Stari grad</t>
  </si>
  <si>
    <t>Gradsko područje - Jugoistok</t>
  </si>
  <si>
    <t>Gradsko područje - Jug</t>
  </si>
  <si>
    <t>Gradsko područje - Jugozapad</t>
  </si>
  <si>
    <t>Gradsko područje - Zapad</t>
  </si>
  <si>
    <t>Gradsko područje-Centralna zona</t>
  </si>
  <si>
    <t>Gradsko područje - Grad</t>
  </si>
  <si>
    <t>Kapitalni projekti - finansiranje iz prihoda od elektroprivrednih preduzeća ostvarenih u tekućoj godini</t>
  </si>
  <si>
    <t>Kapitalni izdaci -  finansiranje iz kapitalnih grantova tekuće godine</t>
  </si>
  <si>
    <t>Kapitalni izdaci - finansiranje iz posebnih naknada ostvarenih u tekućoj godini</t>
  </si>
  <si>
    <t>Kapitalni izdaci - finansiranje iz posebnih naknada iz prethodnih godina</t>
  </si>
  <si>
    <t xml:space="preserve">Kapitalni izdaci - sufinansiranje projektata </t>
  </si>
  <si>
    <t>Izdaci za nabavku stalnih sredstava  - PS</t>
  </si>
  <si>
    <t>Izdaci za tekuće održavnanje  - PS</t>
  </si>
  <si>
    <t>Nabavka stalnih sredstava  - PS</t>
  </si>
  <si>
    <t>Troškovi deratizacije</t>
  </si>
  <si>
    <t>Izdaci za tekuće održavanje, opreme, zgrada i vozila</t>
  </si>
  <si>
    <t>Naknade troškova prevoza</t>
  </si>
  <si>
    <t xml:space="preserve">Nabavka stalnih sredstava- oprema </t>
  </si>
  <si>
    <t>613900</t>
  </si>
  <si>
    <t>Sufinansiranje projekata-priprema projekata</t>
  </si>
  <si>
    <t>Održavanje baze podataka Privrednog registra i web stranica /turizam i privreda/</t>
  </si>
  <si>
    <t>Rekreacioni centar Bunica-unapređenje turističke infrastrukture</t>
  </si>
  <si>
    <t>Troškovi utroška električne energije-Pročistač</t>
  </si>
  <si>
    <t>Održavanje Partizanskog spomen groblja  - čišćenje i održavanje zelenila</t>
  </si>
  <si>
    <t>Tekuće održavanje objekata i uređaja javne rasvjete</t>
  </si>
  <si>
    <t>Tekuće održavanje horizontalne i vertikalne signalizacije</t>
  </si>
  <si>
    <t>Usluge održavanja željezničkih prijelaza</t>
  </si>
  <si>
    <t xml:space="preserve">Vodonatapni sistemi u Gradu -  tekuće održavanje </t>
  </si>
  <si>
    <t>Rješavanje umirujućeg saobraćaja  - Stari grad  - PS</t>
  </si>
  <si>
    <t>Transport i odlaganje otpada, pijeska i digestiranog mulja za PPOV/pročistač/</t>
  </si>
  <si>
    <t>Nabavka i ugradnja kanalizac.poklopaca i rešetki -JP Vodovod</t>
  </si>
  <si>
    <t>Troškovi elektroenergetske saglasnosti</t>
  </si>
  <si>
    <t>Sanacija stare deponije Uborak</t>
  </si>
  <si>
    <t>Izdaci za ekologiju  - Gradsko područje Sjever  - TS</t>
  </si>
  <si>
    <t>Nabavka kontejnera za odlaganje otpada</t>
  </si>
  <si>
    <t>Transferi za osnovno obrazovanje</t>
  </si>
  <si>
    <t>Troškovi pregleda prvačića</t>
  </si>
  <si>
    <t xml:space="preserve">061 Udruga za radno osposobljavanje osoba s posebnim potrebama "Nazaret" </t>
  </si>
  <si>
    <t>384 Srpsko dobrotvorno društvo Dobrotvor</t>
  </si>
  <si>
    <t>456 Udruga paraplegičara i oboljelih od dječije paralize</t>
  </si>
  <si>
    <t>Izdaci za održavanje stanova  - PS 2019.g.</t>
  </si>
  <si>
    <t>Izdaci za održavanje socijalnih stanova - prenesena sredstava</t>
  </si>
  <si>
    <t>073 Dom zdravlja</t>
  </si>
  <si>
    <t>Bolničko lječenje po Zakonu o obligacionim odnosima</t>
  </si>
  <si>
    <t>Izdaci za tekuće održavanje - alternativni smještaj</t>
  </si>
  <si>
    <t>081 Udruga roditelja hrvatskih branitelja u Domovinskom ratu</t>
  </si>
  <si>
    <t>315 Udruga oboljelih od PTSP-a</t>
  </si>
  <si>
    <t>382 Udruženje oboljelih od PTSD-a</t>
  </si>
  <si>
    <t>Sredstva za implementaciju Zakona o dopunskim pravima branitelja i članova njihovih obitelji/porodica</t>
  </si>
  <si>
    <t>Grantovi neprofitnim organizacijama - PS</t>
  </si>
  <si>
    <t>Porez na dohodak</t>
  </si>
  <si>
    <t>Izdaci za tekuće poslovanje za predškolski odgoj</t>
  </si>
  <si>
    <t>Sufinansiranje energetske efikasnosti po sporazumu Grada</t>
  </si>
  <si>
    <t>Sufinansiranje projekata energetske efikasnosti</t>
  </si>
  <si>
    <t>Namjenska sredstva za izgradnju skloništa -TS</t>
  </si>
  <si>
    <t>Namjenska sredstva za izgradnju i opremanje skloništa - PS</t>
  </si>
  <si>
    <t>PS-prenesena sredstva</t>
  </si>
  <si>
    <t>274 Udruga slijepih osoba HNK/HNŽ</t>
  </si>
  <si>
    <t>204 Udruga gluhih i nagluhih osoba u HNK/HNŽ "SLUH"</t>
  </si>
  <si>
    <t>485 Udruženje gluhih i nagluhih osoba u HNK/HNŽ Mostar</t>
  </si>
  <si>
    <t>074 Centar za prevenciju i izvanbolničko liječenje uvećano za 16000</t>
  </si>
  <si>
    <t>Sufinansiranje aktivnosti u oblasti zdravstva i socijalne zaštite</t>
  </si>
  <si>
    <t>Kapitalni transferi za sufinansiranje projekata</t>
  </si>
  <si>
    <t>Tekući transferi za predškolski odgoj</t>
  </si>
  <si>
    <t>Grant za Novu godinu- na otvorenom i Zimski grad HNK/HNŽ - PS</t>
  </si>
  <si>
    <t>Grant sredstva za Preporod/Napredak/ Prosvjeta</t>
  </si>
  <si>
    <t>Donacije od pravnih lica - PS Cola i BH Telekom</t>
  </si>
  <si>
    <t>RASHODI I IZDACI TEKUĆE GODINE</t>
  </si>
  <si>
    <t>Transfer za izbore - PS</t>
  </si>
  <si>
    <t>PS-Prenesena sredstva</t>
  </si>
  <si>
    <t>PS-Prenesena sredstva;TS-Tekuća sredstva/godina</t>
  </si>
  <si>
    <t>Novčana pomoć neprofitnim organizacijama-jednokratne pomoći sportskim udruženjima</t>
  </si>
  <si>
    <t>Grant drugim nivoima vlasti-elementarne nepogode (tekuća sredstva/godina)  - TS</t>
  </si>
  <si>
    <t>5.Primici od prodaje stalnih sredstava</t>
  </si>
  <si>
    <t>Izdaci za komunalne usluge - PS</t>
  </si>
  <si>
    <t>Nabavka materijala  - PS</t>
  </si>
  <si>
    <t>Izdaci za usluge prijevoza, goriva i registraciju vozila  - PS</t>
  </si>
  <si>
    <t>Grantovi drugim razinama vlasti - PS</t>
  </si>
  <si>
    <t xml:space="preserve">Sufinansiranje javnih preduzeća - PS </t>
  </si>
  <si>
    <t>TS - Tekuća sredstva/godina</t>
  </si>
  <si>
    <t>TS -Tekuća sredstva/godina</t>
  </si>
  <si>
    <t>Aerodrom-Zračna luka sufinansiranje niskotarifnih letova</t>
  </si>
  <si>
    <t>Prihodi od poreza iz ranijih godina</t>
  </si>
  <si>
    <t xml:space="preserve">Primljeni transferi i donacije iz ranijih godina </t>
  </si>
  <si>
    <t xml:space="preserve">Ostale nespomenute usluge CZ- PS </t>
  </si>
  <si>
    <t xml:space="preserve">Realizacija zaključenog ugovora za nadzor na tekućem održavanju sistema grijanja i ventilacije u gradskom kupatilu – „BANJI“ u Mostaru </t>
  </si>
  <si>
    <t xml:space="preserve">Tekuće održavanje i konzervacija zidina Starog grada Blagaja </t>
  </si>
  <si>
    <t xml:space="preserve">Tekuće održavanje enterijera i eksterijera u Historijskom urbanom krajoliku Mostar </t>
  </si>
  <si>
    <t>1.1.2.1.</t>
  </si>
  <si>
    <t>1.1.3.1.</t>
  </si>
  <si>
    <t>Neporezni prihodi iz ranijih godina</t>
  </si>
  <si>
    <t>Ukupni prihodi (1.1.1 do 1.1.3.1.)</t>
  </si>
  <si>
    <t>2.1.2.1.</t>
  </si>
  <si>
    <t>2.1.3.1.</t>
  </si>
  <si>
    <t>2.1.4.1.</t>
  </si>
  <si>
    <t>2.2.1.</t>
  </si>
  <si>
    <t>Tekući transferi - iz ostvarenih prihoda/primitaka ranijih godina</t>
  </si>
  <si>
    <t>Kapitalni transferi - iz ostvarenih prihoda/primitaka ranijih godina</t>
  </si>
  <si>
    <t>Izdaci za nabavku stalne imovine - iz ostvarenih prihoda/primitaka ranijih godina</t>
  </si>
  <si>
    <t>UKUPNI RASHODI I IZDACI (2.1.+2.2.+2.2.1.)</t>
  </si>
  <si>
    <t>NETO NABAVKA STALNE/NEFINANSIJSKE IMOVINE (1.2.-2.2.-2.2.1.)</t>
  </si>
  <si>
    <t>1.1.1.1.</t>
  </si>
  <si>
    <t>Izdaci za materijalne troškove- iz ostvarenih prihoda/primitaka ranijih godina</t>
  </si>
  <si>
    <t>Odjel za društvene djelatnosti</t>
  </si>
  <si>
    <t>Odjel za urbanizam i građenje</t>
  </si>
  <si>
    <t>Odjel za privredu, komunalne i inspekcijske poslove</t>
  </si>
  <si>
    <t>11=9+10</t>
  </si>
  <si>
    <t>Ukupno prenesena kapitalna sredstva</t>
  </si>
  <si>
    <t>Tekuće održavanje enterijera i eksterijera u Starom grad Mostaru</t>
  </si>
  <si>
    <t>Izrada projekta uklanjanja nestabilnih dijelova Više djevojačke škole, konzerviranje i konstruktivno ojačanja iste</t>
  </si>
  <si>
    <t>Izvršavanje Rješenja Federalne uprave za inspekcijske poslove</t>
  </si>
  <si>
    <t>Tekuće održavanje krova Gradskog kupatila "Banje" u Mostaru</t>
  </si>
  <si>
    <t xml:space="preserve">Realizacija zaključenog ugovora: Uklanjanje nestabilnih dijelova zgrade bivše Općine (NAMA), konzervacija i konstruktivno ojačanje građevine II faza </t>
  </si>
  <si>
    <t>Realizacija zaključenog ugovora za nadzor po projektu: Uklanjanje nestabilnih dijelova zgrade bivše Općine (NAMA) konzervacija i konstruktivno ojačanje građevine, II faza</t>
  </si>
  <si>
    <t xml:space="preserve">Realizacija zaključenog ugovora za Izradu glavnog projekta sa revizijom uspinjače na Stari grad Blagaj (utvrda Stjepan – grad) </t>
  </si>
  <si>
    <t>Zgrada Name -naknada od elektroprivrednih preduzeća</t>
  </si>
  <si>
    <t>Održavanje krovova oko Starog mosta</t>
  </si>
  <si>
    <t>Grafička priprema za izradu UNESCO ploče</t>
  </si>
  <si>
    <t>Ul.Šerifa Burića (NAMA)</t>
  </si>
  <si>
    <t>Servis Video nazora</t>
  </si>
  <si>
    <t>Usluge izrade idejnog rješenja reg.saobraćaja u Ul.Konak i parking u Starom gradu</t>
  </si>
  <si>
    <t>Zamjena UNESCO ploče u Starom gradu</t>
  </si>
  <si>
    <t>Prozorski otvori sa kapcima u objektima Tabhana u Starom gradu</t>
  </si>
  <si>
    <t xml:space="preserve">Po zahtjevu Agencije "Stari grad" </t>
  </si>
  <si>
    <t>Naknade od iznajmljivanja poslovnih prostora</t>
  </si>
  <si>
    <t>Sredstva granta</t>
  </si>
  <si>
    <r>
      <t>Uklanjanje nestabilnih dijelova zgrade bivše Opštine NAMA , konzervacija i konstruktivno ojačanje  građevine</t>
    </r>
    <r>
      <rPr>
        <sz val="11"/>
        <color rgb="FFFF0000"/>
        <rFont val="Times New Roman"/>
        <family val="1"/>
        <charset val="238"/>
      </rPr>
      <t xml:space="preserve"> </t>
    </r>
  </si>
  <si>
    <t>Neutrošenaa sredstva iz 2019.g.</t>
  </si>
  <si>
    <t>Sredstva na namjenskon računu Grada Mostara - poslovni prostori 40%</t>
  </si>
  <si>
    <t>Agencija Stari grad Mostar</t>
  </si>
  <si>
    <t>Broj:</t>
  </si>
  <si>
    <t>Član 1.</t>
  </si>
  <si>
    <t>Datum:</t>
  </si>
  <si>
    <t xml:space="preserve">Nabavka stalnih sredtsava </t>
  </si>
  <si>
    <t>722501</t>
  </si>
  <si>
    <t>722502</t>
  </si>
  <si>
    <t>722503</t>
  </si>
  <si>
    <t>722504</t>
  </si>
  <si>
    <t>722505</t>
  </si>
  <si>
    <t xml:space="preserve">Naknade i takse po federalnim zakonima i drugim propisima </t>
  </si>
  <si>
    <t>742001</t>
  </si>
  <si>
    <t>742002</t>
  </si>
  <si>
    <t>742003</t>
  </si>
  <si>
    <t>742004</t>
  </si>
  <si>
    <t>742005</t>
  </si>
  <si>
    <t>742006</t>
  </si>
  <si>
    <t>Prihodi od indirektnih poreza ceste prihodi ostvarenih iz  ranijih godina</t>
  </si>
  <si>
    <t>GP Sjever prihodi ostvarenih iz  ranijih godina</t>
  </si>
  <si>
    <t>GP Stari grad prihodi ostvarenih iz  ranijih godina</t>
  </si>
  <si>
    <t>GP Jugoistok prihodi ostvarenih iz  ranijih godina</t>
  </si>
  <si>
    <t>GP Jug prihodi ostvarenih iz  ranijih godina</t>
  </si>
  <si>
    <t>GP Jugozapad prihodi ostvarenih iz  ranijih godina</t>
  </si>
  <si>
    <t>GP Zapad prihodi ostvarenih iz  ranijih godina</t>
  </si>
  <si>
    <t>GP Centralna zona prihodi ostvarenih iz  ranijih godina</t>
  </si>
  <si>
    <t>Ostale budžetske naknade i takse  prihodi ostvarenih iz  ranijih godina</t>
  </si>
  <si>
    <t>Posebne naknade i takse za Civilnu zaštitu i vatrogastvo prihodi ostvarenih iz  ranijih godina</t>
  </si>
  <si>
    <t>Tekući grantovi iz inostranstva prihodi ostvarenih iz  ranijih godina</t>
  </si>
  <si>
    <t>Tekući grantovi od viših nivoa vlasti prihodi ostvarenih iz  ranijih godina</t>
  </si>
  <si>
    <t>Kapitalni grantovi iz inostranstva prihodi ostvarenih iz  ranijih godina</t>
  </si>
  <si>
    <t>Kapitalni grantovi od viših nivoa vlasti prihodi ostvarenih iz  ranijih godina</t>
  </si>
  <si>
    <t>721001</t>
  </si>
  <si>
    <t>721002</t>
  </si>
  <si>
    <t>721003</t>
  </si>
  <si>
    <t>721004</t>
  </si>
  <si>
    <t>721005</t>
  </si>
  <si>
    <t>721006</t>
  </si>
  <si>
    <t>721007</t>
  </si>
  <si>
    <t>721008</t>
  </si>
  <si>
    <t>721009</t>
  </si>
  <si>
    <t>2.3.Ostali prihodi od poduzetničkih aktivnosti ostvarenih iz  ranijih godina</t>
  </si>
  <si>
    <t>614000</t>
  </si>
  <si>
    <t xml:space="preserve"> 2.1.Naknada za eksploataciju mineralnih sirovina ostvarenih iz  ranijih godina</t>
  </si>
  <si>
    <t xml:space="preserve">Naziv kapitalnog projekta </t>
  </si>
  <si>
    <t>Akumuliran sredstav iz ranijih godina</t>
  </si>
  <si>
    <t>OŠ Gnojnice</t>
  </si>
  <si>
    <t>Naknade od elektroprivreda za potopljeno zemljište</t>
  </si>
  <si>
    <t>Kanalizacioni sistem Vrelo Ilići-Cim</t>
  </si>
  <si>
    <t>Naknade od elektroprivreda za potopljeno zemljišteGP Sjever</t>
  </si>
  <si>
    <t xml:space="preserve">Deponija-Ekspropijacija zenlje </t>
  </si>
  <si>
    <t>Kolektori</t>
  </si>
  <si>
    <t>Naknade od elektroprivreda za potopljeno zemljište- ekspropijacija Carinski most</t>
  </si>
  <si>
    <t>Pročištač priključak električne energije</t>
  </si>
  <si>
    <t>Rekonstrukcija puta Salakovac-Humi</t>
  </si>
  <si>
    <t>Nakanda od elektroprivrednih preduzeća</t>
  </si>
  <si>
    <t>Izgradnja potpornog zida i ograde oko Miričinog harema u Vrapčićima</t>
  </si>
  <si>
    <t>Izrada projektne dokumentacije za područje MZ Drežnica</t>
  </si>
  <si>
    <t>Izrada projektne dokumentacije za petlju na sjevernom ulazu u Grad kružni tok na stanici</t>
  </si>
  <si>
    <t>Produžetak saobraćajnice Avenija -Rudnik</t>
  </si>
  <si>
    <t>Vodovod Gubavica</t>
  </si>
  <si>
    <t>Projekti Juga, Jugozapada i Zapada</t>
  </si>
  <si>
    <t>Projekat Elektromašinskog centra</t>
  </si>
  <si>
    <t>Ekspropijavija Bećirović i Huremović</t>
  </si>
  <si>
    <t>Revizija projekta</t>
  </si>
  <si>
    <t>Izrada projekta  i ostale dokumentacije Stajalište bulevar</t>
  </si>
  <si>
    <t>Trim staza-nabavka opreme</t>
  </si>
  <si>
    <t>Vodovod Željuša</t>
  </si>
  <si>
    <t>Partizansko groblje</t>
  </si>
  <si>
    <t>Uređenje starog Njemačkog groblja</t>
  </si>
  <si>
    <t xml:space="preserve"> Kulturno-sportski centar </t>
  </si>
  <si>
    <t>Renta, naknada za sklonište i za projekat Deponija</t>
  </si>
  <si>
    <t>Vodovod Ortiješ</t>
  </si>
  <si>
    <t>Vodovod Ortiješ, Lakšeine i Hodbina</t>
  </si>
  <si>
    <t>Srpska Saborna crkva</t>
  </si>
  <si>
    <t>Projekti po nalogu gradonačenlinka</t>
  </si>
  <si>
    <t xml:space="preserve">Izgradnja zgrada za socijalno stanovanje </t>
  </si>
  <si>
    <t>Produžetak Bulevara- Rodoč</t>
  </si>
  <si>
    <t>Izgradna saobraćajnice vrh Avenije-Maršala Tita</t>
  </si>
  <si>
    <t>Blajburških žrtava</t>
  </si>
  <si>
    <t>Eksproprijacija za izgradnju III O.Š.</t>
  </si>
  <si>
    <t>Izgradnja područne škole Vojno</t>
  </si>
  <si>
    <t>Asfaltiranje ulica na području Bijelog polja i Gnojnica</t>
  </si>
  <si>
    <t>Javna rasvjeta Bijelo polje i Gnojnice</t>
  </si>
  <si>
    <t>Sanacija partera u ulici Brune Bušića</t>
  </si>
  <si>
    <t>Izrada projektne dokumentacije za sanaciju oborinskih voda od groblja „Masline“ do rijeke Radobolje (unutar naselja)</t>
  </si>
  <si>
    <t>Nabavka betona za GP J, JZ, i Zapad</t>
  </si>
  <si>
    <t>Rekonstrukcija lokalne saobraćajnice L13 u naselju Podveležje u okviru realizacije Projekta izgradnje VE Podveležje 1</t>
  </si>
  <si>
    <t>Uređenje partera u naselju Tekija kod atomsko sklonište</t>
  </si>
  <si>
    <t>Uređenje sportskih terena i partera u Kampusu Univerziteta Džemal Bjedić</t>
  </si>
  <si>
    <t>Stadio FK Bjelopoljac</t>
  </si>
  <si>
    <t>FK Velež</t>
  </si>
  <si>
    <t>Pročistač</t>
  </si>
  <si>
    <t>Kružni tok Autobuska stanica</t>
  </si>
  <si>
    <t>Projekat revitalizacije parkovskih površina Bijelog brijega</t>
  </si>
  <si>
    <t>Projekti gradskog područja JUG Eksproprijacija zemljišta sportski centar Jasenica</t>
  </si>
  <si>
    <t>Sanacija groblja Lisičine Bijelo polje</t>
  </si>
  <si>
    <t>Sanacija groblja Gnojnice</t>
  </si>
  <si>
    <t>Javna Rasvjeta Bijelo polje - Bočine Potoci</t>
  </si>
  <si>
    <t>Javna rasvjeta Drežnica</t>
  </si>
  <si>
    <t>Zavod za prostorno uređenje</t>
  </si>
  <si>
    <t>OŠ B.Kašić, Rodoč-krovna konstrukcija</t>
  </si>
  <si>
    <t>Projekti finansiranini  od imovine GP Sjever</t>
  </si>
  <si>
    <t>GP Sjever-prihodi od imovine</t>
  </si>
  <si>
    <t>Izgradnja Javne rasvjete prema selima na području M.Z.Drežnica</t>
  </si>
  <si>
    <t>Rekonstrukcija Javne rasvjete na području M.Z.Vrapčići</t>
  </si>
  <si>
    <t>Izrada projektnih dokumentacija za projekte M.Z. Bijelo Polje</t>
  </si>
  <si>
    <t>Izrada nadstrešnica na autobusnim stajalištima na području M.Z Bijelo Polje</t>
  </si>
  <si>
    <t>Sanacija javne rasvjete u MZ Bijelo Polje</t>
  </si>
  <si>
    <t>Izrada preostalih i sanacija postojećih spomen obilježja na području M.Z. Drežnica</t>
  </si>
  <si>
    <t>Eksproprijacija zemljišta za izgradnju sportske dvorane u Bijelom polju</t>
  </si>
  <si>
    <t>Izrada projektne dokumentacije uz šetalište HE Mostar</t>
  </si>
  <si>
    <t>Izgradnja vodovoda Ćopi</t>
  </si>
  <si>
    <t>Izgradnja sportske dvorane u Bijelom Polju</t>
  </si>
  <si>
    <t>Projektna dokumentacija za nadogradnju sprata OŠ Vrapčići i renoviranje postojećeg dijela objekta</t>
  </si>
  <si>
    <t>O.Š. Drežnica-ugradnja video nazodzora</t>
  </si>
  <si>
    <t>Javna rasvjeta u Bjelom polju</t>
  </si>
  <si>
    <t>Stadion FK Bjelopoljac</t>
  </si>
  <si>
    <t>Društveni objekat Vrapčići</t>
  </si>
  <si>
    <t>Završetak izgradnje tlačnog cjevovoda Žlib- Drežnica</t>
  </si>
  <si>
    <t>Mjerno mjesto za JR</t>
  </si>
  <si>
    <t>Projekti finansiranini  od imovine GP Stari grad</t>
  </si>
  <si>
    <t>GP Stari grad-prihodi od imovine</t>
  </si>
  <si>
    <t>Rekonstrukcija dječijih igrališta na području GP Stari grad</t>
  </si>
  <si>
    <t>Projektna dokumentacija i revizija iste za GP Stari grad</t>
  </si>
  <si>
    <t>Infrastrukturni projekti  MZ Carina</t>
  </si>
  <si>
    <t>Pasarela kod O.Š.Zalik</t>
  </si>
  <si>
    <t>Ulica M. Tita-kampus</t>
  </si>
  <si>
    <t>Rekonstrukcija Ul. B. Fejića</t>
  </si>
  <si>
    <t>Uređenje  parkova i igrališta  GP Stari grad</t>
  </si>
  <si>
    <t>Rekonstrukcija dijela fekalnog kanalizacionog sistema Gornji Zalik</t>
  </si>
  <si>
    <t>Parking u Starom gradu</t>
  </si>
  <si>
    <t>Asfaltiranje saobraćajnica na GP Stari grad</t>
  </si>
  <si>
    <t>Oborinska odvodnja u naselju Šehovina</t>
  </si>
  <si>
    <t>Vodovodna mreža  Šehovina</t>
  </si>
  <si>
    <t>Projekti finansiranini  od imovine GP Jugoistok</t>
  </si>
  <si>
    <t>GP Jugoistok-prihodi od imovine</t>
  </si>
  <si>
    <t>Vodovod Blagaj</t>
  </si>
  <si>
    <t xml:space="preserve">Sanitarni čvor školskog igrališta u Blagaju </t>
  </si>
  <si>
    <t>Izrada projektnih dokumentacija za projekte GP Jugoistok</t>
  </si>
  <si>
    <t>JR na GP Jugoistok</t>
  </si>
  <si>
    <t>BUS-nadstrešnice (četri kom)</t>
  </si>
  <si>
    <t>Izgradnja podzida i probijanje puta prema OŠ Gnojnice</t>
  </si>
  <si>
    <t>Asfaltiranje ulica na GP Jugoistok</t>
  </si>
  <si>
    <t>Asfaltiranje ulica na GP Jugoistok-faza II</t>
  </si>
  <si>
    <t>Rekonstrukcija ulice kod pošte u Balgaju</t>
  </si>
  <si>
    <t>Projekat Harman</t>
  </si>
  <si>
    <t>Projekti finansiranini  od imovine GP Jug</t>
  </si>
  <si>
    <t>GP Jug-prihodi od imovine</t>
  </si>
  <si>
    <t>Obnova MZ Slipčići</t>
  </si>
  <si>
    <t>Dom kulture Buna Visitor centar</t>
  </si>
  <si>
    <t>Izgradna  tribina na Buni uz školu</t>
  </si>
  <si>
    <t>Asfaltiranje ulica u Ortiješu</t>
  </si>
  <si>
    <t>Asfaltiranje u novom naselju Buna</t>
  </si>
  <si>
    <t>Projekti finansiranini  od imovine GP Jugozapad</t>
  </si>
  <si>
    <t>GP Jugozapad-prihodi od imovine</t>
  </si>
  <si>
    <t>I. Osnovna škola - Rekonstrukcija školskog dvorišta</t>
  </si>
  <si>
    <t>Izrada projektno-tehničke dokumentacija za rekonstrukciju vodovodne infrastrukture u ulici Krala Batka</t>
  </si>
  <si>
    <t>Rekonstrukcija ulice Augusta Šenoe</t>
  </si>
  <si>
    <t>Sportska dvorana O.Š. Rodoč</t>
  </si>
  <si>
    <t>projekat finansiran iz više izvora</t>
  </si>
  <si>
    <t xml:space="preserve">Javna rasvjeta Đikovina </t>
  </si>
  <si>
    <t>Završetak (eksproprijacijaradovi+ radovi) -Ul. blajburških žrtava</t>
  </si>
  <si>
    <t>Eksproprijacija i izgradnja  mosta u Ilićima-Barakovac</t>
  </si>
  <si>
    <t>Javna rasvjeta GP Jugozapad</t>
  </si>
  <si>
    <t xml:space="preserve">Sanacija ulice Lea Petrovića Podhum </t>
  </si>
  <si>
    <t>Izrada projektne dokumentacije za dionicu puta Varda-Ulog-Brod Rodoč I</t>
  </si>
  <si>
    <t>Uređenje zelenih površina Staro igralište</t>
  </si>
  <si>
    <t>Parter Kralja Zvonimira</t>
  </si>
  <si>
    <t>Projekti finansiranini  od imovine GP Zapad</t>
  </si>
  <si>
    <t>GP Zapad-prihodi od imovine</t>
  </si>
  <si>
    <t>Put Miljevci-Goranci</t>
  </si>
  <si>
    <t>Rekonstrukcija prostorija MZ Avenija Zapad</t>
  </si>
  <si>
    <t>Uređenje parkova na području naselja Centar II</t>
  </si>
  <si>
    <t>Sanacija kanalizacije u Jacinoj ulici Orlac</t>
  </si>
  <si>
    <t>Igralište uz O.Š. Raštani</t>
  </si>
  <si>
    <t xml:space="preserve">Vodovod (poluotok) Vojno </t>
  </si>
  <si>
    <t>Asfaltiranje ulice u Novom naselju – Vihovići</t>
  </si>
  <si>
    <t>Spomenik u MZ Bogodol</t>
  </si>
  <si>
    <t>Projektna dokumentacija i radovi ceste uz OŠ I. Jakovljević</t>
  </si>
  <si>
    <t>Trotar uz glavnu prometnicu ispred škole Raštani</t>
  </si>
  <si>
    <t>Uređenje parkova GP Zapad</t>
  </si>
  <si>
    <t>Park u Crnoj ulici (kod Žitoprometa)</t>
  </si>
  <si>
    <t>Park u Ul. A. Starčevića</t>
  </si>
  <si>
    <t>Park u Ul. Kralja Tomislava</t>
  </si>
  <si>
    <t>Park u Vukovarskoj ulici</t>
  </si>
  <si>
    <t xml:space="preserve">Izgradnja raskrižja i dijela puta Raštani - Raška gora </t>
  </si>
  <si>
    <t>Ekspropijacija  ulice od vrha Avenije do V osnovne škole (izgradnja i eksproprijacija)</t>
  </si>
  <si>
    <t>Prometnica S3 i dio prometnice S5 u obuhvatu regulacionog plana Zgoni II</t>
  </si>
  <si>
    <t>Dovršetak izgradnje MZ Vihovići</t>
  </si>
  <si>
    <t>Javna rasvjeta GP Zapad</t>
  </si>
  <si>
    <t>Rekonstrukcija Blajburških žrtava</t>
  </si>
  <si>
    <t>Uređenje partera i izgradnja spomenika u Vukovarskoj ulici</t>
  </si>
  <si>
    <t>Kanalizacijski sustav Vihovići Bare - izrada projekta</t>
  </si>
  <si>
    <t>Sanacija spomenika u Bijelom Polju</t>
  </si>
  <si>
    <t>Igralište na Gorancima - izrada projekta</t>
  </si>
  <si>
    <t>Rekostrukcija puteva na GP Zapad</t>
  </si>
  <si>
    <t>Projekti finansiranini  od imovine  GP Centralna zona</t>
  </si>
  <si>
    <t>GP Centralna zona-prihodi od imovine</t>
  </si>
  <si>
    <t>Specijalan osnovna škola</t>
  </si>
  <si>
    <t>Kružni tok autobuska stanica</t>
  </si>
  <si>
    <t>Neraspoređena sredstva GP CZ</t>
  </si>
  <si>
    <t>Projekti finansiranini  od imovine  GP Grad</t>
  </si>
  <si>
    <t>GP Grad -prihodi od imovine</t>
  </si>
  <si>
    <t>Pametni grad</t>
  </si>
  <si>
    <t>Naknade za ceste tax stajališta</t>
  </si>
  <si>
    <t>Održavanje taxi stajališta i nadstrešnica, stajališta za putnike iz PS 2020.g.</t>
  </si>
  <si>
    <t>Održavanje cesta - PS iz 2020.g.</t>
  </si>
  <si>
    <t>Komunalna naknada za GP Sjever  - PS 2020.g.</t>
  </si>
  <si>
    <t>741001</t>
  </si>
  <si>
    <t>741002</t>
  </si>
  <si>
    <t>741003</t>
  </si>
  <si>
    <t>Kapitalni grantovi od viših nivoa vlasti F BiH</t>
  </si>
  <si>
    <t>Kapitalni grantovi od viših nivoa vlasti HNK</t>
  </si>
  <si>
    <t>733001</t>
  </si>
  <si>
    <t>733002</t>
  </si>
  <si>
    <t>Donacije od pravnih lica z  ranijih godina</t>
  </si>
  <si>
    <t>7423</t>
  </si>
  <si>
    <t>Vodovodni bazen Sutina</t>
  </si>
  <si>
    <t>Podveležlje za javni put i parter prema novoizgrađenom objektu put prema domu za stara i iznemogla lica</t>
  </si>
  <si>
    <t xml:space="preserve">Uklanjanje nestabilnih dijelova zgrade bivsše Općine (NAMA), </t>
  </si>
  <si>
    <t>Uklanjanje nestabîlnih dijelova zgrade bivše Općine (NAMA) konzervacija i konstruktivno ojačanje gradevine II faza</t>
  </si>
  <si>
    <t xml:space="preserve">Izradu glavnog projekta sa revizijom uspinjaće na Stari grad Blagaj ( utvrda Stjepan — grad): </t>
  </si>
  <si>
    <t>nadzor na tekućem održavanju sistema grijanja i ventilacije u gradskom kupatilu — “BANJI” u Mostaru</t>
  </si>
  <si>
    <t>Tekuče održavanje enterijera i eksterijera u H istorijskom urbanom krajoliku Mostar</t>
  </si>
  <si>
    <t>Tekući grantovi iz inostranstva 732111</t>
  </si>
  <si>
    <t>Innoxenia</t>
  </si>
  <si>
    <t>Ukupno:</t>
  </si>
  <si>
    <t xml:space="preserve">Irene </t>
  </si>
  <si>
    <t>Ritur</t>
  </si>
  <si>
    <t xml:space="preserve">Ukupno </t>
  </si>
  <si>
    <t>JR Vreapčići</t>
  </si>
  <si>
    <t>Elektroprivrea Bih Podveležje</t>
  </si>
  <si>
    <t>Pregled kapitalnih grantova</t>
  </si>
  <si>
    <t>Naknada za pogodnost  renta iz ranijih godina</t>
  </si>
  <si>
    <t>Općinska naknada za dodijeljeno zemljište iz 2020</t>
  </si>
  <si>
    <t>Naknada za korištenje građ. Zemljišta iz 2020</t>
  </si>
  <si>
    <t>722435</t>
  </si>
  <si>
    <t xml:space="preserve">742112 Kapitalni grant </t>
  </si>
  <si>
    <t>Cesta Kozica Polog</t>
  </si>
  <si>
    <t>Cesta Vranjevići</t>
  </si>
  <si>
    <t>Rek. ulic. Blajburških žrtava</t>
  </si>
  <si>
    <t>Vrapčići Uborak cesta</t>
  </si>
  <si>
    <t>Cesta Smrduša Glavica Slipčići</t>
  </si>
  <si>
    <t>Kanalizacion kolektor</t>
  </si>
  <si>
    <t>Njemačka cesta</t>
  </si>
  <si>
    <t>Cesta Čule</t>
  </si>
  <si>
    <t>Cesta Buna</t>
  </si>
  <si>
    <t>Cesta Jasenica-Slipčići</t>
  </si>
  <si>
    <t>Cesta Raška gora</t>
  </si>
  <si>
    <t>Cesta Buna i druge</t>
  </si>
  <si>
    <t>Rekonstrukcija ulice Blajburških žrtava</t>
  </si>
  <si>
    <t>Cesta Ortiješ</t>
  </si>
  <si>
    <t>Cesta Varda spoj m 6.1</t>
  </si>
  <si>
    <t>Cesta Vrapčići Uborak</t>
  </si>
  <si>
    <t>Cesta Dračevice Vrajevići</t>
  </si>
  <si>
    <t>Cesta Bijelo polje</t>
  </si>
  <si>
    <t>Cesta kralja Petra Krešimira</t>
  </si>
  <si>
    <t>Cesta Željuša</t>
  </si>
  <si>
    <t>uređenje parka Zalik</t>
  </si>
  <si>
    <t>Rekosrukcij ceste Vrapčići Deponija</t>
  </si>
  <si>
    <t>Baterije za solarni pogon</t>
  </si>
  <si>
    <t>Sadnja stabala</t>
  </si>
  <si>
    <t>Rekonstrukcija Šantićeve ulice</t>
  </si>
  <si>
    <t>Dreuštveni centar Vrapčići</t>
  </si>
  <si>
    <t>Ulica Blajburških žrtava</t>
  </si>
  <si>
    <t>Cesta Šehovina</t>
  </si>
  <si>
    <t>Ceta Vrapčići Deponija</t>
  </si>
  <si>
    <t>Cesta Blagaj grad</t>
  </si>
  <si>
    <t>RC Bunica</t>
  </si>
  <si>
    <t>Čišćenje korita Livčine Potoci</t>
  </si>
  <si>
    <t>Most cesta Raška gora</t>
  </si>
  <si>
    <t>Sanacija  cesta   Klanci</t>
  </si>
  <si>
    <t>Vodospremnik Goranci</t>
  </si>
  <si>
    <t>Globalni kolektor</t>
  </si>
  <si>
    <t>Rekpnstrukcija  puta Šantićeva ulica</t>
  </si>
  <si>
    <t>Cesta kralja Petra Krešimira IV</t>
  </si>
  <si>
    <t>Kapitalni grant od javnih preduzeća -prenesena sredstva</t>
  </si>
  <si>
    <t>Kapitalni grant od Republike Srpske</t>
  </si>
  <si>
    <t>Grant od RS igralište Bijelo polje</t>
  </si>
  <si>
    <t>732111 Tekući grantovin od BiH</t>
  </si>
  <si>
    <t xml:space="preserve">732112 Tekući gran od FBiH </t>
  </si>
  <si>
    <t>Upis u UNESK-o listu</t>
  </si>
  <si>
    <t>Coca-cola</t>
  </si>
  <si>
    <t>Grnt za stare zante</t>
  </si>
  <si>
    <t>Pomoć opštinama</t>
  </si>
  <si>
    <t>Upis na UNESK-o  lista</t>
  </si>
  <si>
    <t>BH  telekom nova godina</t>
  </si>
  <si>
    <t>Nova godina</t>
  </si>
  <si>
    <t>HDHS Kosača</t>
  </si>
  <si>
    <t>JR Panjevina</t>
  </si>
  <si>
    <t>Rekonstrukcija ulice kralja Krešimira IV</t>
  </si>
  <si>
    <t>Rekonstrukcija ulice Bojna Rudnička</t>
  </si>
  <si>
    <t>Uređenje zelen površine</t>
  </si>
  <si>
    <t>Kapitalni grant za Lutkarsko kazalište</t>
  </si>
  <si>
    <t>Grant za biljnu proizvodnju</t>
  </si>
  <si>
    <t>Grant za bušotinu  Buna vinograd</t>
  </si>
  <si>
    <t>Winter zimski grad</t>
  </si>
  <si>
    <t>Gradska Banja</t>
  </si>
  <si>
    <t>Tekući grant od HNK-tekuća godina</t>
  </si>
  <si>
    <t>733000 Grant od javnih preduzeća</t>
  </si>
  <si>
    <t>Impuls</t>
  </si>
  <si>
    <t>Eksproprijacija i sredstva za kupovinu zemljišta i izgradnju društvenih objekata u naselju Opine</t>
  </si>
  <si>
    <t>Rente za Osnovnu školu Vrapčići i Društveni objekat Vrapčići</t>
  </si>
  <si>
    <t>Projektovanje i Izgradnja vodovodne mreže Kosor</t>
  </si>
  <si>
    <t>Rekonstrukcija puta Dobrč</t>
  </si>
  <si>
    <t>Projektna dokumentacija povratnička populacija GP JUG(Gubavica i Pijesci)</t>
  </si>
  <si>
    <t>Zaštita obala zaušćenje vodotoka Mošćanuše u G. Drežnici</t>
  </si>
  <si>
    <t>Asvaltiranje ulica Bijelo Polje</t>
  </si>
  <si>
    <t>Asvaltiranje ulica Vrapčići</t>
  </si>
  <si>
    <t>Plaža Salakovac</t>
  </si>
  <si>
    <t>Park Humi</t>
  </si>
  <si>
    <t>Infrastrukturni projekti u MZ Luka 2</t>
  </si>
  <si>
    <t>Izrada projekta i uređenje platoa ispod Starog mosta</t>
  </si>
  <si>
    <t>Projektovanje, izgradnja i rekonstrukcija javne  rasvjete na GP Stari grad</t>
  </si>
  <si>
    <t>Eksproprijacija i izgradnja potpornog zida Gornji Zalik</t>
  </si>
  <si>
    <t>Izrada projekta GP Jugoistok (regulacioni planovi - geodezija)</t>
  </si>
  <si>
    <t>Uređenje - asfaltiranje raskrsnice Kočine</t>
  </si>
  <si>
    <t>Odvod oborinskih voda i upojna jama Bruci</t>
  </si>
  <si>
    <t>Betoniranje ulice prema Haremu, naselje Žulja</t>
  </si>
  <si>
    <t>Kanal i propust za oborinske vode na putu Vranjevići Svačići</t>
  </si>
  <si>
    <t>Asfaltiranje lokalnog puta Rabina</t>
  </si>
  <si>
    <t>Sanitarni čvor sportskog igrališta Dračevice</t>
  </si>
  <si>
    <t>Izgradnja pijačnog prostora ispod tribina sportskog igrališta Podveležje</t>
  </si>
  <si>
    <t>Rekonstrukcija raskrsnice Podveležje</t>
  </si>
  <si>
    <t>Izrada projektne dokumentacije "Dječiji park Blagaj"</t>
  </si>
  <si>
    <t>Asfaltiranje - uređenje puta i partera (Novoizgrađenji DP Podveležje)</t>
  </si>
  <si>
    <t>Rekonstrukcija puta Mostar - Blagaj</t>
  </si>
  <si>
    <t xml:space="preserve">Izrada Projekta saobraćajnog rješenja izlaska iz Donje Mahale prema naselju Tekija </t>
  </si>
  <si>
    <t>Kapitani grantovi- finansiranje iz prihoda od elektroprivrednih preduzeća ostvarenih u tekućoj godini</t>
  </si>
  <si>
    <t>61500PS</t>
  </si>
  <si>
    <t>Put Deponija-Uborak</t>
  </si>
  <si>
    <t>0822</t>
  </si>
  <si>
    <t>Udžbenici za prvačiće</t>
  </si>
  <si>
    <t>Naknada za pogodnost  rentaiz ranijih godina</t>
  </si>
  <si>
    <t>Naknada po osnovu prirodnih pogodnosti Renta izranijih godina</t>
  </si>
  <si>
    <t>Naknada po osnovu prirodnih pogodnosi Renta izranijih godina</t>
  </si>
  <si>
    <t>Naknada po osnovu prirodnih pogodnosti Renta iz ranijih godina</t>
  </si>
  <si>
    <t>Naknada po osnovu prirodnih pogodnosti Renta- Centralna zona iz ranijih godina</t>
  </si>
  <si>
    <t>Naknada za uređenje građ. zemljišta iz ranijih godina</t>
  </si>
  <si>
    <t>Plan prilagođavanja/prilagodbe upravljanja otpadom za regionalnu deponiju Uborak-Buđevci u Mostaru</t>
  </si>
  <si>
    <t>Služba za građenje i obnovu i Služba za građenje infrastrukturnih objekata</t>
  </si>
  <si>
    <t>Sufinasiranje WATSAN-T6 lijevoobalni kolektro</t>
  </si>
  <si>
    <t>Projekti GP JUG</t>
  </si>
  <si>
    <t>Sufinanciranje projekta tlačnog navodnjavanja poljoprivrednih površina Jasenica</t>
  </si>
  <si>
    <t>Sufinanciranje projekta oborinskih voda u Ortiješu</t>
  </si>
  <si>
    <t>Projekti GP Jugozapad - projektiranje i izvođenje</t>
  </si>
  <si>
    <t>Nastavak gradnje školske dvorane u Pologu</t>
  </si>
  <si>
    <t>Revitalizacija parkovskih površina na GP Jugozapad</t>
  </si>
  <si>
    <t>Uređenje dječjeg igrališta u MZ Rodoč I</t>
  </si>
  <si>
    <t>Projekt i elaborat eksproprijacije za pristupni put do škole u Ilićima</t>
  </si>
  <si>
    <t>Rješavanje prometnog raskrižja kod crkve u Rodoču</t>
  </si>
  <si>
    <t>Projekti GP Zapad - projektiranje i izvođenje</t>
  </si>
  <si>
    <t>Izgradnja dvorane uz O.Š Ilija Jakovljević</t>
  </si>
  <si>
    <t>Rekonstrukcija parkinga - Splitska 66</t>
  </si>
  <si>
    <t>Rekonstrukcija parkinga i ceste - Splitska 32-38</t>
  </si>
  <si>
    <t>Projekt gradnje vrtića u naselju Centar II</t>
  </si>
  <si>
    <t>Izgradnja javne rasvjete GP JUG</t>
  </si>
  <si>
    <t>Sanacije i rekonstrukcije spomenika poginulim braniteljima</t>
  </si>
  <si>
    <t>Saradnja sa nevladinim organizacijama i općinama u BiH  PARLANET</t>
  </si>
  <si>
    <t>Izrada prostorno-planske dokumentacije</t>
  </si>
  <si>
    <t>HŠK Zrinski</t>
  </si>
  <si>
    <t xml:space="preserve">Tekući transferiustanove  za udruženje građana </t>
  </si>
  <si>
    <t>821413</t>
  </si>
  <si>
    <t>Sanacijski i konzervacijski zahvati na stablima platana zaštoćene Aleje</t>
  </si>
  <si>
    <t>Subvencije Aerodrom-Zračna luka</t>
  </si>
  <si>
    <t>Naknade za ceste tax stajališta iz ranijih godina</t>
  </si>
  <si>
    <t xml:space="preserve">Tekući grantovi iz inostranstva </t>
  </si>
  <si>
    <t>Kapitalni transferi od poduzeća iz ranijih godina</t>
  </si>
  <si>
    <t>Izvršenje Budžeta od 01.01.-30.06. 2021.g.</t>
  </si>
  <si>
    <t>Plate, naknade troškova zaposlenih i doprinosi poslodavca</t>
  </si>
  <si>
    <t>Izvršenje Budžeta za period od 01.01.-30.06. 2021.g.</t>
  </si>
  <si>
    <t>Izvršenje Budžeta od 01.01.-30.06.2021.g.</t>
  </si>
  <si>
    <r>
      <t xml:space="preserve">Tekuće odrżavanj/e </t>
    </r>
    <r>
      <rPr>
        <sz val="14"/>
        <color rgb="FF111111"/>
        <rFont val="Times New Roman"/>
        <family val="1"/>
        <charset val="238"/>
      </rPr>
      <t xml:space="preserve">i </t>
    </r>
    <r>
      <rPr>
        <sz val="14"/>
        <color theme="1"/>
        <rFont val="Times New Roman"/>
        <family val="1"/>
        <charset val="238"/>
      </rPr>
      <t>konzervacija zidina Starog grada Blagaja IV faza</t>
    </r>
  </si>
  <si>
    <t xml:space="preserve">Prihodi po gradskim područjima </t>
  </si>
  <si>
    <t>Kapitalni grant od F BiH tekuća godina</t>
  </si>
  <si>
    <t xml:space="preserve"> 076 RVI ARBiH Mostar</t>
  </si>
  <si>
    <t>489 Studio za izvedbene umjetnosti Grada Mostara</t>
  </si>
  <si>
    <t>489 Grant EPK-2024 Studio za izvedbene umjetnosti Grada Mostara</t>
  </si>
  <si>
    <t xml:space="preserve"> 558 Muzej Žitomislić</t>
  </si>
  <si>
    <t>JEDINICA ZA INTERNU REVIZIJU</t>
  </si>
  <si>
    <t>Gradsko područje-CENTRALNA-SREDIŠNJA ZONA Iz prenesenih neutrošenih sredstava</t>
  </si>
  <si>
    <t>Gradsko područje - JUGOISTOK Iz prenesenih neutrošenih sredstava</t>
  </si>
  <si>
    <t>Gradsko područje - STARI GRAD Iz prenesenih neutrošenih sredstava</t>
  </si>
  <si>
    <t>Gradsko područje - SJEVER Iz prenesenih neutrošenih sredstava</t>
  </si>
  <si>
    <t>Kapitalni izdaci za građenje i obnovu</t>
  </si>
  <si>
    <t>Služba za građenje infrastrukturnih objekata-GRADSKA PODRUČJA</t>
  </si>
  <si>
    <t>Sanacija groblja Lisičine Bijelo Polje</t>
  </si>
  <si>
    <t>722433</t>
  </si>
  <si>
    <t xml:space="preserve">Kapitalni grantovi iz inostranstva </t>
  </si>
  <si>
    <t>Kapitani grantovi- finansiranje iz prihoda od elektroprivrednih preduzeća ostvarenih PS</t>
  </si>
  <si>
    <t>Kapitalni projekti  - finansiranje iz prihoda ostvarenih od elektroprivrednih preduzeća PS</t>
  </si>
  <si>
    <t>Ukupno iz proteklih godina:</t>
  </si>
  <si>
    <t>COOPER-Masline</t>
  </si>
  <si>
    <t>Projekat Incluziv play</t>
  </si>
  <si>
    <t xml:space="preserve">Izgradnja potpornog zida </t>
  </si>
  <si>
    <t>UKUPNO KAPITALNI TRANSFERI:</t>
  </si>
  <si>
    <t>Ukupno iz prenesenih sredstava :</t>
  </si>
  <si>
    <t>COOPER -Masline-tekuća godina</t>
  </si>
  <si>
    <t>Tekući grantovi od BiH</t>
  </si>
  <si>
    <t xml:space="preserve">Tekući gran od FBiH  </t>
  </si>
  <si>
    <t>Namjenska sredstva ASG</t>
  </si>
  <si>
    <t>732113 Primljeni grantovi od RS</t>
  </si>
  <si>
    <t>Obnova stambenih objekata</t>
  </si>
  <si>
    <t>Federalni zavod za zapošljavanje</t>
  </si>
  <si>
    <t xml:space="preserve">Za zapošljavanje </t>
  </si>
  <si>
    <t>UKUPNO TEKUĆI GRANTOVI:</t>
  </si>
  <si>
    <t>TEKUĆI GRANTOVI</t>
  </si>
  <si>
    <t>Kapitalni grant HNK-prenesena sredstva</t>
  </si>
  <si>
    <t>Kapitalni grant HNK-TEKUĆA GODINA</t>
  </si>
  <si>
    <t>Izvršenje Budžeta od 01.01.-30.06.2021</t>
  </si>
  <si>
    <t>Prerada otpadnih voda JP Vodovod-FBiH</t>
  </si>
  <si>
    <t>Regu. bujica poslo zona Gajevi</t>
  </si>
  <si>
    <t>Fond za zaštitu okoliša-Park B.Brijeg</t>
  </si>
  <si>
    <t>Budžet 2021.g.</t>
  </si>
  <si>
    <t>Izvršenje budžeta od 01.01.-30.06.2021.g.</t>
  </si>
  <si>
    <t xml:space="preserve"> Kapitalni grantovi iz inostranstva</t>
  </si>
  <si>
    <t>Agencija Stari Grad</t>
  </si>
  <si>
    <t xml:space="preserve">UKUPNO </t>
  </si>
  <si>
    <t>Izmjene i dopune Budžeta - Rebalans</t>
  </si>
  <si>
    <t>Izmjene i dopune Budžeta-Rebalans</t>
  </si>
  <si>
    <t>Na osnovu člana 37. Zakona o budžetima u Federaciji BiH ("Službene novine Federacije BiH", br. 102/13, 9/14, 13/14, 8/15, 91/15, 102/15, 104/16, 5/18, 11/19 i 99/19) i člana 52. Statuta Grada Mostara ("Gradski službeni glasnik Grada Mostara" broj: 4/04), Gradsko vijeće Grada Mostar na sjednici  održanoj _____________ usvaja:</t>
  </si>
  <si>
    <t>Izmjene i dopune Budžeta za 2021 (Rebalans)</t>
  </si>
  <si>
    <t>Nam. rashodi</t>
  </si>
  <si>
    <t>Izmjene i dopune Budžeta za 2021.g.(Rebalans)</t>
  </si>
  <si>
    <t>Izmjene i dopune Budžeta za 2021.(Rebalans)</t>
  </si>
  <si>
    <t>Izmjene i dopune Budžeta za 2021.god.(Rebalans)</t>
  </si>
  <si>
    <t>Izmjene i dopune(Rebalans)</t>
  </si>
  <si>
    <t>Groblje Donja Jasenica(615000)</t>
  </si>
  <si>
    <t>Završetak centr. grijanja O.Š Miljkovići(615000)</t>
  </si>
  <si>
    <t>Naknada od elektroprivrede za potop</t>
  </si>
  <si>
    <t>JU Dječiji vrtić Ciciban(615311)</t>
  </si>
  <si>
    <t>Los Rosales(615311)</t>
  </si>
  <si>
    <t>13=10+11+12</t>
  </si>
  <si>
    <t>614112</t>
  </si>
  <si>
    <t>Tekući graant Fedeaciji</t>
  </si>
  <si>
    <t>Projekti po Rebalansu</t>
  </si>
  <si>
    <t>614115</t>
  </si>
  <si>
    <t>Tekući grantovi Federaciji</t>
  </si>
  <si>
    <t xml:space="preserve"> Akumuliran sredstav iz ranijih godina </t>
  </si>
  <si>
    <t>Izmjene i dopune  Budžeta za 2021. godinu</t>
  </si>
  <si>
    <t>Ukupno izmjene i dopune budžeta za 2021.g.</t>
  </si>
  <si>
    <t>Izmjene i dopune Budžet za 2021. godinu</t>
  </si>
  <si>
    <t>Ukupno izmjene  i dopune  Budžet za 2021.g.</t>
  </si>
  <si>
    <t>Poravnanje po analitičkoj kartici</t>
  </si>
  <si>
    <t>Interventna sredstva za grijanje</t>
  </si>
  <si>
    <t>Grant za projekat mladih</t>
  </si>
  <si>
    <t>Za ceste u gradu Mostaru</t>
  </si>
  <si>
    <t>Kapitalni grant iz inostranstva</t>
  </si>
  <si>
    <t>Tekući grant od međunarodnih organizacija - Projekat Innoxenia  - PS</t>
  </si>
  <si>
    <t>Bušotina Buna vinogradari PS</t>
  </si>
  <si>
    <t>Sadnja Bilja PS</t>
  </si>
  <si>
    <t>Grant od Federacije -  Stari zanati PS</t>
  </si>
  <si>
    <t>Transfer za kulturu PS</t>
  </si>
  <si>
    <t>Grant za 10. godišnjicu UNESKO Stari most PS</t>
  </si>
  <si>
    <t>Ministarstvo finansija BiH PS-readmisijsko stanovanje</t>
  </si>
  <si>
    <t>Grant od države readmisijsko stanovanje PS</t>
  </si>
  <si>
    <t>Projekat Ritour  - PS</t>
  </si>
  <si>
    <t xml:space="preserve"> </t>
  </si>
  <si>
    <t>Akumulirana sredstva iz ran god.</t>
  </si>
  <si>
    <t>Akumuliran sredstva iz ranijih godina</t>
  </si>
  <si>
    <t>Rebalans za 2021.g.</t>
  </si>
  <si>
    <t>Rebalans za 2021</t>
  </si>
  <si>
    <t>Izgradnja M6.1 dionice Španski trg-Hotel Ero</t>
  </si>
  <si>
    <t>Vodovod-Gubavica i Pjesci</t>
  </si>
  <si>
    <t>Rekonstrukcija ulica</t>
  </si>
  <si>
    <t>Sanacija opožarenog podrucja u naselju Jasenice</t>
  </si>
  <si>
    <t>Sanacija puteva</t>
  </si>
  <si>
    <t>Glavni obalni kolektor sred.zone Grada Mostara</t>
  </si>
  <si>
    <t>Vodovod Gubavica -Pijesci</t>
  </si>
  <si>
    <t>Uredženje podrucja</t>
  </si>
  <si>
    <t>Izgradnja potpornog zida-HE Mostar-Vojno</t>
  </si>
  <si>
    <t>Intervento djelovanje na poslovnim prostorima</t>
  </si>
  <si>
    <t>Pozajmica Mo Parking</t>
  </si>
  <si>
    <t xml:space="preserve">Projekat Ritour </t>
  </si>
  <si>
    <t>Tekući grant od međunarodnih organizacija - Projekat Innoxenia  - TS</t>
  </si>
  <si>
    <t>Nakanda GP</t>
  </si>
  <si>
    <t>Udruga Rimokatolicko groblje Donja Jasenica</t>
  </si>
  <si>
    <t>Rekonst.pom.terena na stadionu HŠK Zrinjski</t>
  </si>
  <si>
    <t>Ustanova djeciji vrtici</t>
  </si>
  <si>
    <t>Centralnog grijanja u podrucnoj školi Miljkovici</t>
  </si>
  <si>
    <t>Nabavka servera</t>
  </si>
  <si>
    <t>Nabavka drona</t>
  </si>
  <si>
    <t>Nakanda za spoljne suradnika</t>
  </si>
  <si>
    <t>Ne raspoređena sredstva</t>
  </si>
  <si>
    <t>Ministarstvo finansija BiH- readmisijsko stanovanje TS</t>
  </si>
  <si>
    <t>Grant za nevladine organizacije za socijalnu zaštitu Za naš grad</t>
  </si>
  <si>
    <t xml:space="preserve">Rekonstrukcija trotoara u ulici  Buća </t>
  </si>
  <si>
    <t xml:space="preserve">Rekonstrukcija  ulica između zgrada na BNR  Buća </t>
  </si>
  <si>
    <t>Nabavka zemlje ekspropijacija od Lasta</t>
  </si>
  <si>
    <t>Ukupno tekuća godina</t>
  </si>
  <si>
    <t>Prenesena sredstva</t>
  </si>
  <si>
    <t>Tekuća sredstva</t>
  </si>
  <si>
    <t>Izmjene i dopune Budžeta UKUPNO</t>
  </si>
  <si>
    <t>Tabela 13.</t>
  </si>
  <si>
    <t xml:space="preserve">Agencija Stari grad </t>
  </si>
  <si>
    <t>Tabela 12</t>
  </si>
  <si>
    <t>Odjel za privredu, komunalne i inspekcijske poslove-Služba za komunalne poslove i zaštitu okoline</t>
  </si>
  <si>
    <t>Odjel za privredu, komunalne i inspekcijske poslove-Služba za privredu</t>
  </si>
  <si>
    <t>Izvšenje Budžeta za periodod od 01.01-31.07.2021</t>
  </si>
  <si>
    <t>Izvšenje Budžeta za periodod od 01.01-31.08.2021</t>
  </si>
  <si>
    <t>Izvšenje Budžeta za periodod od 01.01-30.09.2021</t>
  </si>
  <si>
    <t xml:space="preserve">Izmjene i dopune Budžeta za 2021 godinu REBALANS </t>
  </si>
  <si>
    <t>8(5+6+7)</t>
  </si>
  <si>
    <t>POREZ NA DOBIT POJEDINACA (zaostale uplate poreza)</t>
  </si>
  <si>
    <t xml:space="preserve">POREZ NA PLAĆU I RADNU SNAGU                                          (zaostale uplate poreza) </t>
  </si>
  <si>
    <t>POREZ NA IMOVINU</t>
  </si>
  <si>
    <t xml:space="preserve"> POREZ NA DOHODAK</t>
  </si>
  <si>
    <t>PRIHODI OD INDIREKTNIH POREZA</t>
  </si>
  <si>
    <t xml:space="preserve">Prihodi od indirektnih poreza </t>
  </si>
  <si>
    <t>Prihodi od indirektnih poreza koji pripadaju Gradu Mostaru za ceste</t>
  </si>
  <si>
    <t>Prihodi od indirektnih poreza koji pripadaju Gradu Mostaru za ceste iz PS</t>
  </si>
  <si>
    <t>Prihodi od indirektnih poreza na ime finansiranja auto cesta u FBiH</t>
  </si>
  <si>
    <t>OSTALI POREZI</t>
  </si>
  <si>
    <t>2.  NEPOREZNI PRIHODI</t>
  </si>
  <si>
    <t>2.1. PRIHODI OD PODUZETNIČKIH AKTIVNOSTI</t>
  </si>
  <si>
    <t xml:space="preserve"> Naknada za eksploataciju mineralnih sirovina</t>
  </si>
  <si>
    <t>GP SJEVER</t>
  </si>
  <si>
    <t>Prihodi od imovine TS</t>
  </si>
  <si>
    <t>Prihodi od imovine PS</t>
  </si>
  <si>
    <t>GP STARI  GRAD</t>
  </si>
  <si>
    <t>GP JUGOISTOK</t>
  </si>
  <si>
    <t xml:space="preserve"> GP JUG</t>
  </si>
  <si>
    <t>GP JUGOZAPAD</t>
  </si>
  <si>
    <t>GP ZAPAD</t>
  </si>
  <si>
    <t>GP Centralan zona</t>
  </si>
  <si>
    <t>GP GRAD</t>
  </si>
  <si>
    <t>Prihodi od iznajmljivanja poslovnih prostora (60%  nenamjenska sredstva)</t>
  </si>
  <si>
    <t>223</t>
  </si>
  <si>
    <t>Prihodi od iznajmljivanja poslovnih prostora (40% za rekonstrukvija i obnova)</t>
  </si>
  <si>
    <t>Zakup zemljišta</t>
  </si>
  <si>
    <t>Iznajmljivanje prostorija gradske vijećnice</t>
  </si>
  <si>
    <t>721227</t>
  </si>
  <si>
    <t>Prihodi od korištenja sportskih privrednih dobara</t>
  </si>
  <si>
    <t xml:space="preserve">Prihodi od privatizacije </t>
  </si>
  <si>
    <t>Ostali prihodi od materijalne imovine-socijalni stanovi</t>
  </si>
  <si>
    <t>2.2. NAKNADE I TAKSE OD JAVNIH USLUGA</t>
  </si>
  <si>
    <t>Gradske administravivne takse</t>
  </si>
  <si>
    <t xml:space="preserve">Ostale budžetske nakande i takse </t>
  </si>
  <si>
    <t>722432</t>
  </si>
  <si>
    <t>Naknade za osiguranje od požara</t>
  </si>
  <si>
    <t>Naknade za osiguranje od požara iz PS</t>
  </si>
  <si>
    <t>Naknade po osnovu zauzimanju  javnih površina</t>
  </si>
  <si>
    <t>722436</t>
  </si>
  <si>
    <t>Naknada za tehničke preglede objekata</t>
  </si>
  <si>
    <t>Naknade za komisiju za procjenu nekretnina</t>
  </si>
  <si>
    <t>722441</t>
  </si>
  <si>
    <t>Ostale komunalne naknade za Gradsko područje Sjever</t>
  </si>
  <si>
    <t>722442</t>
  </si>
  <si>
    <t>Ostale komunalne naknade za Gradsko područje Sjever iz PS</t>
  </si>
  <si>
    <t>Naknade za održavanje i izgradnju javnih skoništa</t>
  </si>
  <si>
    <t>722443</t>
  </si>
  <si>
    <t>Naknade za održavanje i izgradnju javnih skoništa iz PS</t>
  </si>
  <si>
    <t xml:space="preserve"> Naknada od elektroprivrednih poduzeća</t>
  </si>
  <si>
    <t xml:space="preserve"> Naknada od elektroprivrednih poduzeća-za investicione programe</t>
  </si>
  <si>
    <t>Nakande za korištenje zemlje uz javne ceste, korištenje javnih površina i građevnog zemljišta  kojim upravlja Grad Mostar</t>
  </si>
  <si>
    <t>Naknada za korištenje cesta za vozila pravnih lica</t>
  </si>
  <si>
    <t>Naknada za korištenje cesta za vozila fizičkih lica</t>
  </si>
  <si>
    <t>Naknada po posebnim propisima Taxi stajališta</t>
  </si>
  <si>
    <t>Naknada po posebnim propisima Taxi stajališta iz PS</t>
  </si>
  <si>
    <t>Posebne naknade za zaštitu od prirodnih i dr. nepogoda na neto plaću</t>
  </si>
  <si>
    <t>Posebne naknade za zaštitu od prirodnih i dr. nepogoda na neto plaću iz PS</t>
  </si>
  <si>
    <t>Posebne nak. za zaštitu od prirodnih i dr. nepo. na neto plaću od samostalnih dje.i povremenog sam. rada</t>
  </si>
  <si>
    <t>722583</t>
  </si>
  <si>
    <t>Posebne naknade iz premije osiguranja</t>
  </si>
  <si>
    <t>722584</t>
  </si>
  <si>
    <t>Posebne naknade iz premije osiguranja motornih vozila</t>
  </si>
  <si>
    <t>Nnaknade i takse po federalnim zakonima i drugim propicima</t>
  </si>
  <si>
    <t>Prhodi ASG</t>
  </si>
  <si>
    <t xml:space="preserve">Novčane kazne </t>
  </si>
  <si>
    <t xml:space="preserve">Gran iz inostranstva </t>
  </si>
  <si>
    <t>Gran iz inostranstva iz PS</t>
  </si>
  <si>
    <t>732111</t>
  </si>
  <si>
    <t>Grant od BiH</t>
  </si>
  <si>
    <t>Grant od BiH iz PS</t>
  </si>
  <si>
    <t>447</t>
  </si>
  <si>
    <t>Primljeni grantovi od Federacije</t>
  </si>
  <si>
    <t>448</t>
  </si>
  <si>
    <t>Primljeni grantovi od Federacije  iz PS</t>
  </si>
  <si>
    <t>449</t>
  </si>
  <si>
    <t>Transfer od Federalnog zavoda za zapošljavanje</t>
  </si>
  <si>
    <t>450</t>
  </si>
  <si>
    <t>Grant od RS</t>
  </si>
  <si>
    <t>451</t>
  </si>
  <si>
    <t>Grant od HNK/HNŽ</t>
  </si>
  <si>
    <t>ZAVOD ZA ZAPOŠLJAVANJE</t>
  </si>
  <si>
    <t>452</t>
  </si>
  <si>
    <t>Grant od HNK/HNŽ iz PS</t>
  </si>
  <si>
    <t>453</t>
  </si>
  <si>
    <t>7331123</t>
  </si>
  <si>
    <t>454</t>
  </si>
  <si>
    <t>7331124</t>
  </si>
  <si>
    <t>Donacije od pravnih lica iz PS</t>
  </si>
  <si>
    <t>740000</t>
  </si>
  <si>
    <t xml:space="preserve">Primljeni grantovi iz inostranstva </t>
  </si>
  <si>
    <t>Primljeni grantovi iz inostranstva iz PS</t>
  </si>
  <si>
    <t>Primljeni grantovi od međunarodnih organizacija iz PS</t>
  </si>
  <si>
    <t>Primljeni kapitalni grant od Vlade Federacije BiH</t>
  </si>
  <si>
    <t>Primljeni kapitalni grant od Vlade Federacije BiH iz PS</t>
  </si>
  <si>
    <t>Primljeni kapitalni grant od RS</t>
  </si>
  <si>
    <t xml:space="preserve">Kapitalni  grant  HNŽ </t>
  </si>
  <si>
    <t>Kapitalni  grant  HNŽ iz PS</t>
  </si>
  <si>
    <t>Kapitalni transferi od poduzeća za</t>
  </si>
  <si>
    <t>Prodaja stalnih sresdatava</t>
  </si>
  <si>
    <t>PRIHOD/PRIMICI TEKUĆE GODINE 1+2+3+4</t>
  </si>
  <si>
    <t>NOVČANA SREDSTVA AKUMULIRANA NA TR</t>
  </si>
  <si>
    <t>UKUPNA RASPOLOŽIVA SREDSTVA</t>
  </si>
  <si>
    <t>Nadstrešice u starom gradu</t>
  </si>
  <si>
    <t>Odjel za privredu, komunalne i inspekcijske poslove-Služba za podršku biznisa</t>
  </si>
  <si>
    <t>Zatvaranje stare deponije Uborak</t>
  </si>
  <si>
    <t>Deponija uborak</t>
  </si>
  <si>
    <t>613299</t>
  </si>
  <si>
    <t xml:space="preserve">Komunalna naknada za GP Sjever  </t>
  </si>
  <si>
    <t>Subvencije javnim preduzećima PS</t>
  </si>
  <si>
    <t>MARINADA DOO,uređ.i zašt.polj.zem.</t>
  </si>
  <si>
    <t>Projekat Cooper-masline Buna</t>
  </si>
  <si>
    <t xml:space="preserve"> JAFFA KOMERC,uređ.zem. Malo Polje</t>
  </si>
  <si>
    <t>Sadnja maslina</t>
  </si>
  <si>
    <t>Gradsko područje - JUG  PS</t>
  </si>
  <si>
    <t>Gradsko područje - JUGOZAPAD TS</t>
  </si>
  <si>
    <t>Kapitalni izdaci -  finansiranje iz kapitalnih grantova PS</t>
  </si>
  <si>
    <t>Kapitalni grantovi PS</t>
  </si>
  <si>
    <t>Izdaci za organizacije proistekle iz rata-Izdaci za organizacije proistekle iz rata</t>
  </si>
  <si>
    <t>Odjel za društvene djelatnosti-Služba za socijalne i stambene poslove, zdravstvo, raseljene osobe i izbjeglice</t>
  </si>
  <si>
    <t>Odjel za društvene djelatnosti-Služba za odgoj, obrazovanje, mlade i sport</t>
  </si>
  <si>
    <t>Odjel za društvene djelatnosti-Služba za kulturu</t>
  </si>
  <si>
    <t>614301</t>
  </si>
  <si>
    <t>Tekući grantovi PS</t>
  </si>
  <si>
    <t>Usluge  obrazovanja i stručnog usavršavanja  CZ</t>
  </si>
  <si>
    <t>Tekući grantovi neprofitnim organizacijama PS</t>
  </si>
  <si>
    <t>Ostale nespomenute usluge PS</t>
  </si>
  <si>
    <t>Izdaci za nabavku stalnih sredstva ps</t>
  </si>
  <si>
    <t>Nabavka stalnih sredstava PS</t>
  </si>
  <si>
    <t>Prihodi posebni dio</t>
  </si>
  <si>
    <t>Naknada po osnovu prirodnih pogodnosi Renta iz 2020</t>
  </si>
  <si>
    <t>Naknada po osnovu prirodnih pogodnosi Renta AS</t>
  </si>
  <si>
    <t>Naknada po osnovu prirodnih pogodnosti Renta iz 2020</t>
  </si>
  <si>
    <t>Naknada po osnovu prirodnih pogodnosti Renta- Centralna zona iz 2020</t>
  </si>
  <si>
    <t>730999</t>
  </si>
  <si>
    <t>Ostale ne planirane uzplate PS</t>
  </si>
  <si>
    <t>3(1+2)</t>
  </si>
  <si>
    <t>Tekuća godina</t>
  </si>
  <si>
    <t>Ukupni Rashodi</t>
  </si>
  <si>
    <t>6.PRIHODI/PRIMICI (1+2+3+4+5) Tekuće godine</t>
  </si>
  <si>
    <t>7. Preneesena sredstav iz ranijih godina</t>
  </si>
  <si>
    <t>6.UKUPNI  PRIHODI/PRIMICI (1+2+3+4+5+6) Tekuće godine</t>
  </si>
  <si>
    <t>RASHODI I IZDACI  (1+2) tekuće godine</t>
  </si>
  <si>
    <t>UKUPNO RASHODI I IZDACI  (1+2) PS</t>
  </si>
  <si>
    <t xml:space="preserve">UKUPNO RASHODI I IZDACI </t>
  </si>
  <si>
    <t>12=9+10+11</t>
  </si>
  <si>
    <t>ODJEL ZA URBANIZAM I GRAĐENJE -Služba za građenje i obnovu i Služba za građenje infrastrukturnih objekata</t>
  </si>
  <si>
    <t>Ukupno iz tekućih  sredstava :</t>
  </si>
  <si>
    <t xml:space="preserve">ODJEL ZA URBANIZAM I GRAĐENJE- Služba za građenje infrastrukturnih objekata-  kapitalni grant 615000 iz naknade GP </t>
  </si>
  <si>
    <t xml:space="preserve">Naknada za pogodnost  renta sredstva izdovjena za eksporpoiajciju </t>
  </si>
  <si>
    <t>Naknada za uređenje građ. sredstva izdovjena za eksporpoiajciju</t>
  </si>
  <si>
    <t>Fond za zaštitu okol.-oplemenjivanje zelenih površia Bjeli brijeg</t>
  </si>
  <si>
    <t>Judo Borsa</t>
  </si>
  <si>
    <t>Ulica kod zgrade HNK UL Jakova Baroha Španca</t>
  </si>
  <si>
    <t>Kapitalni izdaci iz PS - Kapitalni plan budžeta</t>
  </si>
  <si>
    <t>Odjel za urbanizam i građenje-Služba za građenje i obnovu</t>
  </si>
  <si>
    <t>TS_ Tekuća sredstva</t>
  </si>
  <si>
    <t>Cesta Gajevi nazor</t>
  </si>
  <si>
    <t>Green Design  Centra- osiguranje priključaka</t>
  </si>
  <si>
    <t>Na  elektro, vodovodnu,PTT mrezu i kanalizacijsku mrež</t>
  </si>
  <si>
    <t>Green Design  Centra- osiguranje priključaka na  elektro, vodovodnu,PTT mrezu i kanalizacijsku mrež</t>
  </si>
  <si>
    <t>Kupovina parcele prilaz Starom mostu</t>
  </si>
  <si>
    <t>=</t>
  </si>
  <si>
    <r>
      <t xml:space="preserve">Transfer za izbore </t>
    </r>
    <r>
      <rPr>
        <sz val="16"/>
        <color theme="1"/>
        <rFont val="Times New Roman"/>
        <family val="1"/>
      </rPr>
      <t>iz ranijih godiana</t>
    </r>
  </si>
  <si>
    <r>
      <t xml:space="preserve">Readmisijsko stanovanje </t>
    </r>
    <r>
      <rPr>
        <sz val="16"/>
        <color theme="1"/>
        <rFont val="Times New Roman"/>
        <family val="1"/>
      </rPr>
      <t>iz ranijih godiana</t>
    </r>
  </si>
  <si>
    <r>
      <t xml:space="preserve">Tekući grant od HNK </t>
    </r>
    <r>
      <rPr>
        <sz val="16"/>
        <color theme="1"/>
        <rFont val="Times New Roman"/>
        <family val="1"/>
      </rPr>
      <t>iz ranijih godiana</t>
    </r>
    <r>
      <rPr>
        <b/>
        <sz val="16"/>
        <color rgb="FF000000"/>
        <rFont val="Times New Roman"/>
        <family val="1"/>
      </rPr>
      <t xml:space="preserve"> 732114</t>
    </r>
  </si>
  <si>
    <r>
      <t>Grant od javnih preduzeća</t>
    </r>
    <r>
      <rPr>
        <sz val="16"/>
        <color theme="1"/>
        <rFont val="Times New Roman"/>
        <family val="1"/>
      </rPr>
      <t xml:space="preserve"> akumulirani iz ranijih godina</t>
    </r>
  </si>
  <si>
    <t>Tekućs sredstva</t>
  </si>
  <si>
    <t>Grant za mlade</t>
  </si>
  <si>
    <t>Sufinansiranje energetske efikasnosti po sporazumu Grada PS</t>
  </si>
  <si>
    <t>TS-Tekuća sredstva</t>
  </si>
  <si>
    <t>Tekuća sredtva</t>
  </si>
  <si>
    <t>Prihodi od iznajmljivanja poslovnih prostora (40% za rekonstrukvija i obnova) PS</t>
  </si>
  <si>
    <t>AGA KAN PS</t>
  </si>
  <si>
    <t>Prihodi od privatizacije PS</t>
  </si>
  <si>
    <t>Ostali prihodi od materijalne imovine-socijalni stanovi PS</t>
  </si>
  <si>
    <t>Naknada za tehničke preglede objekata PS</t>
  </si>
  <si>
    <t xml:space="preserve"> Naknada od elektroprivrednih poduzeća-za investicione programe Akumulirana iz ranijih godina PS</t>
  </si>
  <si>
    <t>Nakandaza kupovinu zelje PS</t>
  </si>
  <si>
    <t>Deponij kolektor i pročistač PS</t>
  </si>
  <si>
    <t>Odjel za zinansije i nekrenine</t>
  </si>
  <si>
    <t>EKSPROPIJACIJA DUBROVAČKE</t>
  </si>
  <si>
    <t>PRODUŽETAK AVENIJE /RUDNIK EKSPROPIJACIJA GP ZAPAD</t>
  </si>
  <si>
    <t>EKSPROPIJACIJA ZA SEPARACIJU RUDNIK</t>
  </si>
  <si>
    <t>EKSPROPIJACIJA VRH AVENIJE MOST SUTINA</t>
  </si>
  <si>
    <t>DJEČIJI VRTIĆ ZGONI</t>
  </si>
  <si>
    <t>EKSPROPIJACIJA IZ HDHS KOSAČA</t>
  </si>
  <si>
    <t>EKSPROPIJACIJA ZID ZALIK GP SG</t>
  </si>
  <si>
    <t>Služba za  nekretnine</t>
  </si>
  <si>
    <t>Odjel za zinansije i nekrenine-Služba za  nekretnine</t>
  </si>
  <si>
    <t>Ostale ne spomenute usluge</t>
  </si>
  <si>
    <t>1.3.</t>
  </si>
  <si>
    <t>Ukupni prihodi i primici iz ranijih godina (1.1.1.1.+1.1.2.1.+1.1.3.1.)</t>
  </si>
  <si>
    <t>Član 2</t>
  </si>
  <si>
    <t>Član 3</t>
  </si>
  <si>
    <t>Član 5</t>
  </si>
  <si>
    <t>Član 6.</t>
  </si>
  <si>
    <t>Član 7.</t>
  </si>
  <si>
    <t>Odjel za društvene djelatnosti- Izdaci za organizacije proistekle iz rata-Izdaci za organizacije proistekle iz rata</t>
  </si>
  <si>
    <t xml:space="preserve">ODJEL ZA URBANIZAM I GRAĐENJE-Služba za građenje infrastrukturnih objekata-GRADSKA PODRUČJA </t>
  </si>
  <si>
    <t>fali će još para 3 ugovora došla danas</t>
  </si>
  <si>
    <t>umanjeno</t>
  </si>
  <si>
    <t>povećano dai slabu kalkula</t>
  </si>
  <si>
    <t>odbijena da vahtjeva 50000</t>
  </si>
  <si>
    <t>uvećano</t>
  </si>
  <si>
    <t>upitno kad će se zaposliti jedan javn pravobranioc</t>
  </si>
  <si>
    <t>uvećano za 5000</t>
  </si>
  <si>
    <t>113</t>
  </si>
  <si>
    <t>114</t>
  </si>
  <si>
    <t>115</t>
  </si>
  <si>
    <t>121</t>
  </si>
  <si>
    <t>241</t>
  </si>
  <si>
    <t>116</t>
  </si>
  <si>
    <t>117</t>
  </si>
  <si>
    <t>118</t>
  </si>
  <si>
    <t>119</t>
  </si>
  <si>
    <t>120</t>
  </si>
  <si>
    <t>122</t>
  </si>
  <si>
    <t>123</t>
  </si>
  <si>
    <t>227</t>
  </si>
  <si>
    <t>124</t>
  </si>
  <si>
    <t>125</t>
  </si>
  <si>
    <t>126</t>
  </si>
  <si>
    <t>127</t>
  </si>
  <si>
    <t>128</t>
  </si>
  <si>
    <t>129</t>
  </si>
  <si>
    <t>130</t>
  </si>
  <si>
    <t>131</t>
  </si>
  <si>
    <t>111/445</t>
  </si>
  <si>
    <t>111/228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</si>
  <si>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</si>
  <si>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</si>
  <si>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</si>
  <si>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</si>
  <si>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</si>
  <si>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</si>
  <si>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</si>
  <si>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</si>
  <si>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</si>
  <si>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</si>
  <si>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</si>
  <si>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242</t>
  </si>
  <si>
    <t>243</t>
  </si>
  <si>
    <t>244</t>
  </si>
  <si>
    <t>245</t>
  </si>
  <si>
    <t>246</t>
  </si>
  <si>
    <t>247</t>
  </si>
  <si>
    <t>248</t>
  </si>
  <si>
    <t>224/444</t>
  </si>
  <si>
    <t>11/444</t>
  </si>
  <si>
    <t>111/225</t>
  </si>
  <si>
    <t>111/226</t>
  </si>
  <si>
    <t>111/227</t>
  </si>
  <si>
    <t>444/230</t>
  </si>
  <si>
    <t>Probni rad pročistača/bez troškova el.energijež TS</t>
  </si>
  <si>
    <t>„Rekonstrukcija – Služba za branitelje“ objekat</t>
  </si>
  <si>
    <t>Sredstva za ekspropijaciju</t>
  </si>
  <si>
    <t>Zavod za zapošljavanje</t>
  </si>
  <si>
    <t xml:space="preserve">ODJEL DRUŠTVENIH DJELATNOSTI   </t>
  </si>
  <si>
    <t>Grant  za nevladine organizacije - za socijalnu zaštitu ZA naš grad</t>
  </si>
  <si>
    <t>Rasvjeta Panjevine</t>
  </si>
  <si>
    <t>R UI: K.P. Krešimira IV</t>
  </si>
  <si>
    <t>JR UI. II bojne rudničke</t>
  </si>
  <si>
    <t>Lutkarsko pozorište</t>
  </si>
  <si>
    <t>Zavod za prostornjo uteđenje</t>
  </si>
  <si>
    <t>jafa comer</t>
  </si>
  <si>
    <t>nandar</t>
  </si>
  <si>
    <t>branit</t>
  </si>
  <si>
    <t>Bušotina Buna vinogradari</t>
  </si>
  <si>
    <t xml:space="preserve"> Tekući grant  od međunar.org.-projekat Innoxenia PS</t>
  </si>
  <si>
    <t>Tekuča sredstva</t>
  </si>
  <si>
    <t>Grant iz F BiH Nama</t>
  </si>
  <si>
    <t>Obor.vode naselje Ortiješ-radovi</t>
  </si>
  <si>
    <t xml:space="preserve">Humanističkih nauka Džemal Bijedić </t>
  </si>
  <si>
    <t>Oplemenjivanje povr. u nepos.okolici fudb.stad.Rođeni</t>
  </si>
  <si>
    <t>Nast. radova uređ. u župnom središtu po Od.01-1-02-2761/20</t>
  </si>
  <si>
    <t xml:space="preserve"> Džudo klug BORSA</t>
  </si>
  <si>
    <t xml:space="preserve"> Hodbini,Demirovićeva Mahala</t>
  </si>
  <si>
    <t>Grant za povratnike</t>
  </si>
  <si>
    <t>Projekat INNOXENIJA</t>
  </si>
  <si>
    <t>Tende</t>
  </si>
  <si>
    <t xml:space="preserve">Banja </t>
  </si>
  <si>
    <t>Reval.zelenih pov. na Bijelom Brijegu</t>
  </si>
  <si>
    <t>Ur.obal.poj.uz jez.HE Most-Vojno</t>
  </si>
  <si>
    <t>T6-sekund.kanal.mreža Opine spoj na gl.kolektore</t>
  </si>
  <si>
    <t>Vodovod Gubavica-sekundarna mr.radovi</t>
  </si>
  <si>
    <t>MIN.POLJ.VODOP. I ŠUMARSTVA HNŽ-a</t>
  </si>
  <si>
    <t>Radovi, ugovor:02-19-15972/20-1</t>
  </si>
  <si>
    <t>Nabavka stalnih sredstava-kapitalni budžet PS</t>
  </si>
  <si>
    <t>Izvor</t>
  </si>
  <si>
    <t>Izmjene i dopune Budžeta Rebalans</t>
  </si>
  <si>
    <t>Grant za Zavod za prostorno uređenje pomoć opštinama</t>
  </si>
  <si>
    <t>ODJEL ZA URBANIZAM I GRAĐENJE-Služba za građenje infrastrukturnih objekata- kapitalni grant drugim nivoima</t>
  </si>
  <si>
    <t>Subvencije javnim preduzećima -  pročistač PS</t>
  </si>
  <si>
    <t>OŠ Juraj Dalmatinac</t>
  </si>
  <si>
    <t>Primljeni grantovi  - FBiH- Nama</t>
  </si>
  <si>
    <t>Budžet za 2022</t>
  </si>
  <si>
    <t>Budžeta za 2022</t>
  </si>
  <si>
    <t>Budžet 2022</t>
  </si>
  <si>
    <t xml:space="preserve">Zahtjerev budžetskok korisnika </t>
  </si>
  <si>
    <t>Sufinanciranje projekata mladih</t>
  </si>
  <si>
    <t>Sufinanciranje projekata omladinske banke</t>
  </si>
  <si>
    <t>Grantovi za projekte od intweresa za grad</t>
  </si>
  <si>
    <t>Zahtjev za Budžet za 2022</t>
  </si>
  <si>
    <t>Zahtjev Budžeta za 2022</t>
  </si>
  <si>
    <t>Zahtjev 2022</t>
  </si>
  <si>
    <t xml:space="preserve">Zahtjev Budžetskih korisnika </t>
  </si>
  <si>
    <t xml:space="preserve">Nagrade za kolektivno stnaovanje za nauređenija drorišta </t>
  </si>
  <si>
    <t>8=5+6++7</t>
  </si>
  <si>
    <t xml:space="preserve">Zahtjev Budžetskog korisnika </t>
  </si>
  <si>
    <t>3=1+2</t>
  </si>
  <si>
    <t>6=4+5</t>
  </si>
  <si>
    <t>Nastavna pomagala i oprema za osnovne škole</t>
  </si>
  <si>
    <t xml:space="preserve">Grantovi za projekte od interesa za Grad </t>
  </si>
  <si>
    <t>Sufinanciranje projekta ReLOaD2</t>
  </si>
  <si>
    <t>Sufinanciranje projekta sa Gender agencijom FBiH</t>
  </si>
  <si>
    <t>Broj uposlenih 1</t>
  </si>
  <si>
    <t>Skokovi sa Starog mosta</t>
  </si>
  <si>
    <t>Grant sredstva</t>
  </si>
  <si>
    <t xml:space="preserve"> Budžet/Proračun Grada Mostara za 2022.godinu</t>
  </si>
  <si>
    <t>EU Projekt "Inclusive pley"</t>
  </si>
  <si>
    <t>Nabavka stalnih sredstava lizing</t>
  </si>
  <si>
    <t>Prihodi i primici Grada Mostara planirani po Budžetu Grada Mostara   raspoređeni su na sljedeći način:</t>
  </si>
  <si>
    <t>Budžet Grada Mostara za 2022.godinu objavit će se u "Službenom glasniku Grada Mostara" i na  web stranici Grada Mostara.</t>
  </si>
  <si>
    <t xml:space="preserve"> Tekući grant  od međunar.org.-projekat Innoxenia TS</t>
  </si>
  <si>
    <t>Grant za izbore</t>
  </si>
  <si>
    <t>Kapitalni grant od BiH tekuća godina</t>
  </si>
  <si>
    <t>Grant HNK - ogledni nasad maslina, sufinansiranje projekta COOPeR sadnja maslins</t>
  </si>
  <si>
    <t>Budžeta za 2022g.</t>
  </si>
  <si>
    <t>Ukupno Budžet za 2022.g.</t>
  </si>
  <si>
    <t>Rekokstrukcija raskrsnica u centralnoj Zoni</t>
  </si>
  <si>
    <t xml:space="preserve">Dom zdravlja Stari grad </t>
  </si>
  <si>
    <t>OŠ ilija Jakovljević</t>
  </si>
  <si>
    <t>Vodovod Kosor</t>
  </si>
  <si>
    <t>Javna rasvjeta Podveležje</t>
  </si>
  <si>
    <t>Dom kulture Blagaj</t>
  </si>
  <si>
    <t>Izrada projektne dokumentacije i izgradnja  prometnica S2 i S3 Bjeli brijeg</t>
  </si>
  <si>
    <t>Sekundarna kanalizacijska mreža Ilić-Cim</t>
  </si>
  <si>
    <t>Nabavka peći za pelet OŠ Cim</t>
  </si>
  <si>
    <t>Osnovna škola Miljkovići ograda</t>
  </si>
  <si>
    <t>Stadion NK Cim</t>
  </si>
  <si>
    <t>Kružni tok autobuska stanica, Ero i španski trg</t>
  </si>
  <si>
    <t>Subvencija JP Mo sport</t>
  </si>
  <si>
    <t>Pomoć javnim preduzećima</t>
  </si>
  <si>
    <t>614412</t>
  </si>
  <si>
    <t>614413</t>
  </si>
  <si>
    <t xml:space="preserve">Zahtjev </t>
  </si>
  <si>
    <t>9=7+8</t>
  </si>
  <si>
    <t>Zahtjev</t>
  </si>
  <si>
    <t xml:space="preserve"> Budžet 2022</t>
  </si>
  <si>
    <t>Izrada projekata u historijskom urbanoom krajoliku Mostara</t>
  </si>
  <si>
    <t>Održavanje fasada u historijskom urbanom krajoliku Mostara</t>
  </si>
  <si>
    <t>Realizacija projekata uklanj.nest.dijelova Više djevojačke škole, konz. i konstruk. ojač. iste</t>
  </si>
  <si>
    <t>Rekonstrukcija poslov.prostora u historijskom urbanom krajoliku Mostara</t>
  </si>
  <si>
    <t xml:space="preserve">VI Osnovna škola </t>
  </si>
  <si>
    <t>Zamjena dilatacionih sprava na mostovima Avijatički i Carinski</t>
  </si>
  <si>
    <t>Kapitalni grant od F BiH iz tekuća godina</t>
  </si>
  <si>
    <t>Budžet  za 2022</t>
  </si>
  <si>
    <t>Asvaltiranje cesta Pjesci-Gubavica</t>
  </si>
  <si>
    <t>Sportska dvorana Potoci</t>
  </si>
  <si>
    <t>Budžet  za 2022.g.</t>
  </si>
  <si>
    <t>Ne rasopređe sredstava</t>
  </si>
  <si>
    <t>Rekonstrukcija travnjaka HŠK Zrinjski</t>
  </si>
  <si>
    <t>Rekonstrukcija ulice A.Šenoe</t>
  </si>
  <si>
    <t xml:space="preserve"> Budžet za 2022</t>
  </si>
  <si>
    <t>Budžet za 2022.g.</t>
  </si>
</sst>
</file>

<file path=xl/styles.xml><?xml version="1.0" encoding="utf-8"?>
<styleSheet xmlns="http://schemas.openxmlformats.org/spreadsheetml/2006/main">
  <numFmts count="5">
    <numFmt numFmtId="5" formatCode="#,##0\ &quot;KM&quot;;\-#,##0\ &quot;KM&quot;"/>
    <numFmt numFmtId="164" formatCode="#,##0.00\ [$Kn-41A];[Red]\-#,##0.00\ [$Kn-41A]"/>
    <numFmt numFmtId="165" formatCode="mmm\ dd"/>
    <numFmt numFmtId="166" formatCode="###,###,###,##0.00"/>
    <numFmt numFmtId="167" formatCode="#,##0_ ;\-#,##0\ "/>
  </numFmts>
  <fonts count="18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FF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Times New Roman"/>
      <family val="1"/>
    </font>
    <font>
      <b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 tint="-0.499984740745262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Calibri"/>
      <family val="2"/>
      <scheme val="minor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</font>
    <font>
      <sz val="16"/>
      <name val="Times New Roman"/>
      <family val="1"/>
    </font>
    <font>
      <b/>
      <sz val="20"/>
      <color theme="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5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111111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name val="Calibri"/>
      <family val="2"/>
      <charset val="238"/>
      <scheme val="minor"/>
    </font>
    <font>
      <b/>
      <sz val="14"/>
      <color indexed="81"/>
      <name val="Segoe UI"/>
      <family val="2"/>
      <charset val="238"/>
    </font>
    <font>
      <sz val="14"/>
      <color indexed="81"/>
      <name val="Segoe UI"/>
      <family val="2"/>
      <charset val="238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b/>
      <sz val="15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20"/>
      <color rgb="FFFF0000"/>
      <name val="Times New Roman"/>
      <family val="1"/>
      <charset val="238"/>
    </font>
    <font>
      <sz val="20"/>
      <color rgb="FFFF0000"/>
      <name val="Times New Roman"/>
      <family val="1"/>
    </font>
    <font>
      <b/>
      <sz val="16"/>
      <color theme="1"/>
      <name val="Times New Roman"/>
      <family val="1"/>
    </font>
    <font>
      <sz val="12"/>
      <color rgb="FFFFFF00"/>
      <name val="Times New Roman"/>
      <family val="1"/>
      <charset val="238"/>
    </font>
    <font>
      <b/>
      <sz val="25"/>
      <color indexed="81"/>
      <name val="Tahoma"/>
      <family val="2"/>
      <charset val="238"/>
    </font>
    <font>
      <sz val="25"/>
      <color indexed="81"/>
      <name val="Tahoma"/>
      <family val="2"/>
      <charset val="238"/>
    </font>
    <font>
      <sz val="60"/>
      <color rgb="FFFF0000"/>
      <name val="Times New Roman"/>
      <family val="1"/>
      <charset val="238"/>
    </font>
    <font>
      <b/>
      <sz val="55"/>
      <color indexed="81"/>
      <name val="Segoe UI"/>
      <family val="2"/>
      <charset val="238"/>
    </font>
    <font>
      <b/>
      <sz val="20"/>
      <color indexed="81"/>
      <name val="Tahoma"/>
      <family val="2"/>
      <charset val="238"/>
    </font>
    <font>
      <sz val="20"/>
      <color indexed="81"/>
      <name val="Tahoma"/>
      <family val="2"/>
      <charset val="238"/>
    </font>
    <font>
      <b/>
      <sz val="40"/>
      <color indexed="81"/>
      <name val="Tahoma"/>
      <family val="2"/>
      <charset val="238"/>
    </font>
    <font>
      <sz val="4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5"/>
      <color theme="1"/>
      <name val="Times New Roman"/>
      <family val="1"/>
      <charset val="238"/>
    </font>
    <font>
      <sz val="12"/>
      <color rgb="FFFFFF00"/>
      <name val="Times New Roman"/>
      <family val="1"/>
    </font>
    <font>
      <b/>
      <sz val="12"/>
      <color theme="1"/>
      <name val="Calibri"/>
      <family val="2"/>
      <charset val="238"/>
      <scheme val="minor"/>
    </font>
    <font>
      <b/>
      <i/>
      <sz val="11"/>
      <name val="Times New Roman"/>
      <family val="1"/>
      <charset val="238"/>
    </font>
    <font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name val="Times New Roman"/>
      <family val="1"/>
    </font>
    <font>
      <sz val="40"/>
      <color theme="1"/>
      <name val="Times New Roman"/>
      <family val="1"/>
    </font>
    <font>
      <b/>
      <sz val="15"/>
      <color rgb="FFFF0000"/>
      <name val="Times New Roman"/>
      <family val="1"/>
      <charset val="238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6"/>
      <color rgb="FFFF0000"/>
      <name val="Times New Roman"/>
      <family val="1"/>
    </font>
    <font>
      <sz val="10"/>
      <color theme="1"/>
      <name val="Times New Roman"/>
      <family val="1"/>
    </font>
    <font>
      <sz val="20"/>
      <color rgb="FF0000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9"/>
      <color indexed="81"/>
      <name val="Tahoma"/>
      <family val="2"/>
    </font>
    <font>
      <b/>
      <sz val="12"/>
      <color rgb="FFFFFF00"/>
      <name val="Times New Roman"/>
      <family val="1"/>
      <charset val="238"/>
    </font>
    <font>
      <b/>
      <sz val="15"/>
      <color theme="1"/>
      <name val="Times New Roman"/>
      <family val="1"/>
    </font>
    <font>
      <b/>
      <sz val="15"/>
      <name val="Times New Roman"/>
      <family val="1"/>
      <charset val="238"/>
    </font>
    <font>
      <sz val="15"/>
      <name val="Times New Roman"/>
      <family val="1"/>
      <charset val="238"/>
    </font>
    <font>
      <sz val="15"/>
      <color theme="1"/>
      <name val="Times New Roman"/>
      <family val="1"/>
      <charset val="238"/>
    </font>
    <font>
      <sz val="15"/>
      <color theme="1"/>
      <name val="Times New Roman"/>
      <family val="1"/>
    </font>
    <font>
      <sz val="15"/>
      <name val="Times New Roman"/>
      <family val="1"/>
    </font>
    <font>
      <sz val="15"/>
      <color rgb="FFFF0000"/>
      <name val="Times New Roman"/>
      <family val="1"/>
      <charset val="238"/>
    </font>
    <font>
      <sz val="15"/>
      <color rgb="FFFF0000"/>
      <name val="Times New Roman"/>
      <family val="1"/>
    </font>
    <font>
      <b/>
      <sz val="15"/>
      <name val="Times New Roman"/>
      <family val="1"/>
    </font>
    <font>
      <b/>
      <sz val="15"/>
      <color indexed="8"/>
      <name val="Times New Roman"/>
      <family val="1"/>
      <charset val="238"/>
    </font>
    <font>
      <sz val="15"/>
      <color theme="1"/>
      <name val="Calibri"/>
      <family val="2"/>
      <charset val="238"/>
      <scheme val="minor"/>
    </font>
    <font>
      <i/>
      <sz val="15"/>
      <color theme="1"/>
      <name val="Times New Roman"/>
      <family val="1"/>
      <charset val="238"/>
    </font>
    <font>
      <b/>
      <sz val="15"/>
      <color rgb="FFFF0000"/>
      <name val="Times New Roman"/>
      <family val="1"/>
    </font>
    <font>
      <sz val="11"/>
      <color rgb="FFFFFF00"/>
      <name val="Calibri"/>
      <family val="2"/>
      <scheme val="minor"/>
    </font>
    <font>
      <sz val="10"/>
      <color rgb="FFFFFF00"/>
      <name val="Times New Roman"/>
      <family val="1"/>
      <charset val="238"/>
    </font>
    <font>
      <sz val="15"/>
      <color rgb="FFFFFF00"/>
      <name val="Calibri"/>
      <family val="2"/>
      <scheme val="minor"/>
    </font>
    <font>
      <b/>
      <sz val="15"/>
      <color rgb="FFFFFF00"/>
      <name val="Times New Roman"/>
      <family val="1"/>
      <charset val="238"/>
    </font>
    <font>
      <sz val="15"/>
      <color rgb="FFFFFF00"/>
      <name val="Times New Roman"/>
      <family val="1"/>
      <charset val="238"/>
    </font>
    <font>
      <b/>
      <sz val="15"/>
      <color rgb="FFFFFF00"/>
      <name val="Times New Roman"/>
      <family val="1"/>
    </font>
    <font>
      <sz val="15"/>
      <color rgb="FFFFFF00"/>
      <name val="Times New Roman"/>
      <family val="1"/>
    </font>
    <font>
      <b/>
      <sz val="14"/>
      <color rgb="FFFFFF00"/>
      <name val="Times New Roman"/>
      <family val="1"/>
      <charset val="238"/>
    </font>
    <font>
      <sz val="14"/>
      <color rgb="FFFFFF00"/>
      <name val="Times New Roman"/>
      <family val="1"/>
      <charset val="238"/>
    </font>
    <font>
      <b/>
      <sz val="20"/>
      <color theme="0" tint="-0.499984740745262"/>
      <name val="Times New Roman"/>
      <family val="1"/>
      <charset val="238"/>
    </font>
    <font>
      <sz val="20"/>
      <color indexed="8"/>
      <name val="Times New Roman"/>
      <family val="1"/>
      <charset val="238"/>
    </font>
    <font>
      <sz val="20"/>
      <color rgb="FF0000FF"/>
      <name val="Times New Roman"/>
      <family val="1"/>
      <charset val="238"/>
    </font>
    <font>
      <b/>
      <sz val="20"/>
      <color rgb="FF0000FF"/>
      <name val="Times New Roman"/>
      <family val="1"/>
      <charset val="238"/>
    </font>
    <font>
      <b/>
      <sz val="20"/>
      <color rgb="FFFF0000"/>
      <name val="Times New Roman"/>
      <family val="1"/>
    </font>
    <font>
      <b/>
      <sz val="20"/>
      <color theme="0"/>
      <name val="Times New Roman"/>
      <family val="1"/>
    </font>
    <font>
      <b/>
      <sz val="20"/>
      <color rgb="FFFF0000"/>
      <name val="Calibri"/>
      <family val="2"/>
      <charset val="238"/>
      <scheme val="minor"/>
    </font>
    <font>
      <b/>
      <sz val="20"/>
      <color rgb="FF0000FF"/>
      <name val="Times New Roman"/>
      <family val="1"/>
    </font>
    <font>
      <sz val="20"/>
      <color rgb="FF0000FF"/>
      <name val="Times New Roman"/>
      <family val="1"/>
    </font>
    <font>
      <b/>
      <sz val="18"/>
      <name val="Times New Roman"/>
      <family val="1"/>
    </font>
    <font>
      <b/>
      <sz val="12"/>
      <color rgb="FFFFFF00"/>
      <name val="Times New Roman"/>
      <family val="1"/>
    </font>
    <font>
      <sz val="12"/>
      <color rgb="FF0000FF"/>
      <name val="Times New Roman"/>
      <family val="1"/>
    </font>
    <font>
      <sz val="12"/>
      <color theme="0"/>
      <name val="Times New Roman"/>
      <family val="1"/>
    </font>
    <font>
      <b/>
      <sz val="12"/>
      <color rgb="FF0000FF"/>
      <name val="Times New Roman"/>
      <family val="1"/>
    </font>
    <font>
      <b/>
      <sz val="15"/>
      <color rgb="FFFFFF00"/>
      <name val="Calibri"/>
      <family val="2"/>
      <charset val="238"/>
      <scheme val="minor"/>
    </font>
    <font>
      <i/>
      <sz val="20"/>
      <color theme="1"/>
      <name val="Times New Roman"/>
      <family val="1"/>
    </font>
    <font>
      <b/>
      <sz val="20"/>
      <color rgb="FFFFFF00"/>
      <name val="Times New Roman"/>
      <family val="1"/>
    </font>
    <font>
      <sz val="20"/>
      <color rgb="FFFFFF0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40"/>
      <color theme="1"/>
      <name val="Times New Roman"/>
      <family val="1"/>
    </font>
    <font>
      <sz val="40"/>
      <color rgb="FFFF0000"/>
      <name val="Times New Roman"/>
      <family val="1"/>
    </font>
    <font>
      <sz val="40"/>
      <color indexed="8"/>
      <name val="Times New Roman"/>
      <family val="1"/>
    </font>
    <font>
      <i/>
      <sz val="20"/>
      <color theme="1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50"/>
      <color rgb="FFFF0000"/>
      <name val="Calibri"/>
      <family val="2"/>
      <scheme val="minor"/>
    </font>
    <font>
      <sz val="40"/>
      <name val="Times New Roman"/>
      <family val="1"/>
      <charset val="238"/>
    </font>
    <font>
      <sz val="25"/>
      <color theme="1"/>
      <name val="Times New Roman"/>
      <family val="1"/>
      <charset val="238"/>
    </font>
    <font>
      <b/>
      <sz val="25"/>
      <color theme="1"/>
      <name val="Times New Roman"/>
      <family val="1"/>
      <charset val="238"/>
    </font>
    <font>
      <sz val="25"/>
      <color theme="1"/>
      <name val="Calibri"/>
      <family val="2"/>
      <scheme val="minor"/>
    </font>
    <font>
      <sz val="25"/>
      <name val="Times New Roman"/>
      <family val="1"/>
      <charset val="238"/>
    </font>
    <font>
      <b/>
      <sz val="25"/>
      <name val="Times New Roman"/>
      <family val="1"/>
      <charset val="238"/>
    </font>
    <font>
      <b/>
      <sz val="25"/>
      <name val="Times New Roman"/>
      <family val="1"/>
    </font>
    <font>
      <sz val="11"/>
      <color rgb="FFFFFF00"/>
      <name val="Calibri"/>
      <family val="2"/>
      <charset val="238"/>
      <scheme val="minor"/>
    </font>
    <font>
      <sz val="40"/>
      <color theme="1"/>
      <name val="Times New Roman"/>
      <family val="1"/>
      <charset val="238"/>
    </font>
    <font>
      <b/>
      <sz val="18"/>
      <color rgb="FFFF0000"/>
      <name val="Times New Roman"/>
      <family val="1"/>
    </font>
    <font>
      <b/>
      <sz val="18"/>
      <color rgb="FFFFFF00"/>
      <name val="Times New Roman"/>
      <family val="1"/>
    </font>
    <font>
      <sz val="15"/>
      <color indexed="8"/>
      <name val="Times New Roman"/>
      <family val="1"/>
      <charset val="238"/>
    </font>
    <font>
      <sz val="15"/>
      <color rgb="FF0000FF"/>
      <name val="Times New Roman"/>
      <family val="1"/>
      <charset val="238"/>
    </font>
    <font>
      <sz val="15"/>
      <color rgb="FF0000FF"/>
      <name val="Times New Roman"/>
      <family val="1"/>
    </font>
    <font>
      <sz val="15"/>
      <color theme="0"/>
      <name val="Times New Roman"/>
      <family val="1"/>
    </font>
    <font>
      <sz val="15"/>
      <color theme="0"/>
      <name val="Times New Roman"/>
      <family val="1"/>
      <charset val="238"/>
    </font>
    <font>
      <b/>
      <sz val="15"/>
      <color rgb="FF0000FF"/>
      <name val="Times New Roman"/>
      <family val="1"/>
      <charset val="238"/>
    </font>
    <font>
      <b/>
      <sz val="15"/>
      <color rgb="FF0000FF"/>
      <name val="Times New Roman"/>
      <family val="1"/>
    </font>
    <font>
      <b/>
      <sz val="15"/>
      <name val="Calibri"/>
      <family val="2"/>
      <charset val="238"/>
      <scheme val="minor"/>
    </font>
    <font>
      <sz val="15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CC00FF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26"/>
      </patternFill>
    </fill>
    <fill>
      <patternFill patternType="solid">
        <fgColor rgb="FF33CC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6DF92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0"/>
      </patternFill>
    </fill>
  </fills>
  <borders count="3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auto="1"/>
      </right>
      <top style="double">
        <color indexed="64"/>
      </top>
      <bottom style="double">
        <color indexed="64"/>
      </bottom>
      <diagonal/>
    </border>
    <border>
      <left style="thick">
        <color auto="1"/>
      </left>
      <right style="thin">
        <color auto="1"/>
      </right>
      <top style="double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auto="1"/>
      </bottom>
      <diagonal/>
    </border>
    <border>
      <left style="thick">
        <color auto="1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auto="1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 style="double">
        <color auto="1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3" fillId="0" borderId="0"/>
    <xf numFmtId="0" fontId="2" fillId="0" borderId="0"/>
  </cellStyleXfs>
  <cellXfs count="3492">
    <xf numFmtId="0" fontId="0" fillId="0" borderId="0" xfId="0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0" fontId="15" fillId="0" borderId="0" xfId="0" applyFont="1"/>
    <xf numFmtId="49" fontId="10" fillId="0" borderId="0" xfId="0" applyNumberFormat="1" applyFont="1" applyAlignment="1">
      <alignment horizontal="center" vertical="center" wrapText="1"/>
    </xf>
    <xf numFmtId="3" fontId="4" fillId="3" borderId="0" xfId="0" applyNumberFormat="1" applyFont="1" applyFill="1" applyAlignment="1">
      <alignment horizontal="center" vertical="center"/>
    </xf>
    <xf numFmtId="49" fontId="10" fillId="4" borderId="0" xfId="0" applyNumberFormat="1" applyFont="1" applyFill="1" applyAlignment="1">
      <alignment horizontal="center" vertical="center" wrapText="1"/>
    </xf>
    <xf numFmtId="3" fontId="9" fillId="6" borderId="4" xfId="0" applyNumberFormat="1" applyFont="1" applyFill="1" applyBorder="1" applyAlignment="1" applyProtection="1">
      <alignment horizontal="center" vertical="center" wrapText="1"/>
      <protection locked="0"/>
    </xf>
    <xf numFmtId="3" fontId="9" fillId="6" borderId="14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2" xfId="0" applyNumberFormat="1" applyFont="1" applyFill="1" applyBorder="1" applyAlignment="1">
      <alignment horizontal="center" vertical="center"/>
    </xf>
    <xf numFmtId="3" fontId="10" fillId="5" borderId="4" xfId="2" applyNumberFormat="1" applyFont="1" applyFill="1" applyBorder="1" applyAlignment="1">
      <alignment horizontal="center" vertical="center" wrapText="1"/>
    </xf>
    <xf numFmtId="3" fontId="10" fillId="5" borderId="14" xfId="2" applyNumberFormat="1" applyFont="1" applyFill="1" applyBorder="1" applyAlignment="1">
      <alignment horizontal="center" vertical="center" wrapText="1"/>
    </xf>
    <xf numFmtId="3" fontId="10" fillId="5" borderId="2" xfId="2" applyNumberFormat="1" applyFont="1" applyFill="1" applyBorder="1" applyAlignment="1">
      <alignment horizontal="center" vertical="center" wrapText="1"/>
    </xf>
    <xf numFmtId="3" fontId="10" fillId="5" borderId="15" xfId="2" applyNumberFormat="1" applyFont="1" applyFill="1" applyBorder="1" applyAlignment="1">
      <alignment horizontal="center" vertical="center" wrapText="1"/>
    </xf>
    <xf numFmtId="3" fontId="9" fillId="3" borderId="15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49" fontId="9" fillId="4" borderId="0" xfId="0" applyNumberFormat="1" applyFont="1" applyFill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3" fontId="9" fillId="2" borderId="17" xfId="0" applyNumberFormat="1" applyFont="1" applyFill="1" applyBorder="1" applyAlignment="1">
      <alignment horizontal="center" vertical="center"/>
    </xf>
    <xf numFmtId="3" fontId="9" fillId="2" borderId="18" xfId="0" applyNumberFormat="1" applyFont="1" applyFill="1" applyBorder="1" applyAlignment="1">
      <alignment horizontal="center" vertical="center"/>
    </xf>
    <xf numFmtId="3" fontId="20" fillId="3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3" fontId="21" fillId="3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 wrapText="1"/>
    </xf>
    <xf numFmtId="49" fontId="9" fillId="3" borderId="0" xfId="0" applyNumberFormat="1" applyFont="1" applyFill="1" applyAlignment="1">
      <alignment horizontal="left" wrapText="1"/>
    </xf>
    <xf numFmtId="0" fontId="9" fillId="8" borderId="20" xfId="2" applyFont="1" applyFill="1" applyBorder="1" applyAlignment="1">
      <alignment horizontal="left" vertical="center" wrapText="1"/>
    </xf>
    <xf numFmtId="3" fontId="9" fillId="6" borderId="3" xfId="0" applyNumberFormat="1" applyFont="1" applyFill="1" applyBorder="1" applyAlignment="1" applyProtection="1">
      <alignment horizontal="center" vertical="center" wrapText="1"/>
      <protection locked="0"/>
    </xf>
    <xf numFmtId="3" fontId="10" fillId="5" borderId="3" xfId="2" applyNumberFormat="1" applyFont="1" applyFill="1" applyBorder="1" applyAlignment="1">
      <alignment horizontal="center" vertical="center" wrapText="1"/>
    </xf>
    <xf numFmtId="3" fontId="9" fillId="5" borderId="4" xfId="2" applyNumberFormat="1" applyFont="1" applyFill="1" applyBorder="1" applyAlignment="1">
      <alignment horizontal="center" vertical="center" wrapText="1"/>
    </xf>
    <xf numFmtId="3" fontId="9" fillId="5" borderId="14" xfId="2" applyNumberFormat="1" applyFont="1" applyFill="1" applyBorder="1" applyAlignment="1">
      <alignment horizontal="center" vertical="center" wrapText="1"/>
    </xf>
    <xf numFmtId="3" fontId="9" fillId="5" borderId="2" xfId="2" applyNumberFormat="1" applyFont="1" applyFill="1" applyBorder="1" applyAlignment="1">
      <alignment horizontal="center" vertical="center" wrapText="1"/>
    </xf>
    <xf numFmtId="3" fontId="9" fillId="5" borderId="3" xfId="2" applyNumberFormat="1" applyFont="1" applyFill="1" applyBorder="1" applyAlignment="1">
      <alignment horizontal="center" vertical="center" wrapText="1"/>
    </xf>
    <xf numFmtId="3" fontId="9" fillId="2" borderId="15" xfId="0" applyNumberFormat="1" applyFont="1" applyFill="1" applyBorder="1" applyAlignment="1">
      <alignment horizontal="center" vertical="center"/>
    </xf>
    <xf numFmtId="3" fontId="9" fillId="4" borderId="4" xfId="0" applyNumberFormat="1" applyFont="1" applyFill="1" applyBorder="1" applyAlignment="1">
      <alignment horizontal="center" vertical="center"/>
    </xf>
    <xf numFmtId="3" fontId="9" fillId="4" borderId="14" xfId="0" applyNumberFormat="1" applyFont="1" applyFill="1" applyBorder="1" applyAlignment="1">
      <alignment horizontal="center" vertical="center"/>
    </xf>
    <xf numFmtId="3" fontId="9" fillId="9" borderId="2" xfId="2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/>
    </xf>
    <xf numFmtId="3" fontId="10" fillId="4" borderId="14" xfId="0" applyNumberFormat="1" applyFont="1" applyFill="1" applyBorder="1" applyAlignment="1">
      <alignment horizontal="center" vertical="center"/>
    </xf>
    <xf numFmtId="3" fontId="10" fillId="9" borderId="2" xfId="2" applyNumberFormat="1" applyFont="1" applyFill="1" applyBorder="1" applyAlignment="1">
      <alignment horizontal="center" vertical="center" wrapText="1"/>
    </xf>
    <xf numFmtId="3" fontId="10" fillId="10" borderId="3" xfId="0" applyNumberFormat="1" applyFont="1" applyFill="1" applyBorder="1" applyAlignment="1">
      <alignment horizontal="center" vertical="center"/>
    </xf>
    <xf numFmtId="3" fontId="10" fillId="4" borderId="3" xfId="0" applyNumberFormat="1" applyFont="1" applyFill="1" applyBorder="1" applyAlignment="1">
      <alignment horizontal="center" vertical="center"/>
    </xf>
    <xf numFmtId="3" fontId="10" fillId="3" borderId="13" xfId="0" applyNumberFormat="1" applyFont="1" applyFill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3" fontId="9" fillId="3" borderId="13" xfId="0" applyNumberFormat="1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3" fontId="9" fillId="3" borderId="14" xfId="0" applyNumberFormat="1" applyFont="1" applyFill="1" applyBorder="1" applyAlignment="1">
      <alignment horizontal="center" vertical="center"/>
    </xf>
    <xf numFmtId="3" fontId="10" fillId="3" borderId="1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3" fillId="12" borderId="3" xfId="0" applyNumberFormat="1" applyFont="1" applyFill="1" applyBorder="1" applyAlignment="1">
      <alignment horizontal="center" vertical="center"/>
    </xf>
    <xf numFmtId="3" fontId="24" fillId="3" borderId="3" xfId="0" applyNumberFormat="1" applyFont="1" applyFill="1" applyBorder="1" applyAlignment="1">
      <alignment horizontal="center" vertical="center"/>
    </xf>
    <xf numFmtId="3" fontId="25" fillId="0" borderId="3" xfId="0" applyNumberFormat="1" applyFont="1" applyBorder="1" applyAlignment="1">
      <alignment horizontal="center" vertical="center"/>
    </xf>
    <xf numFmtId="3" fontId="10" fillId="9" borderId="4" xfId="2" applyNumberFormat="1" applyFont="1" applyFill="1" applyBorder="1" applyAlignment="1">
      <alignment horizontal="center" vertical="center" wrapText="1"/>
    </xf>
    <xf numFmtId="3" fontId="10" fillId="9" borderId="14" xfId="2" applyNumberFormat="1" applyFont="1" applyFill="1" applyBorder="1" applyAlignment="1">
      <alignment horizontal="center" vertical="center" wrapText="1"/>
    </xf>
    <xf numFmtId="3" fontId="9" fillId="9" borderId="4" xfId="2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/>
    </xf>
    <xf numFmtId="3" fontId="9" fillId="9" borderId="14" xfId="2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3" borderId="14" xfId="0" applyNumberFormat="1" applyFont="1" applyFill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 wrapText="1"/>
    </xf>
    <xf numFmtId="3" fontId="10" fillId="12" borderId="3" xfId="0" applyNumberFormat="1" applyFont="1" applyFill="1" applyBorder="1" applyAlignment="1">
      <alignment horizontal="center" vertical="center"/>
    </xf>
    <xf numFmtId="3" fontId="26" fillId="12" borderId="3" xfId="0" applyNumberFormat="1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 wrapText="1"/>
    </xf>
    <xf numFmtId="3" fontId="9" fillId="3" borderId="14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14" borderId="3" xfId="0" applyNumberFormat="1" applyFont="1" applyFill="1" applyBorder="1" applyAlignment="1">
      <alignment horizontal="center" vertical="center" wrapText="1"/>
    </xf>
    <xf numFmtId="3" fontId="9" fillId="8" borderId="2" xfId="2" applyNumberFormat="1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1" fillId="3" borderId="13" xfId="0" applyNumberFormat="1" applyFont="1" applyFill="1" applyBorder="1" applyAlignment="1">
      <alignment horizontal="center" vertical="center"/>
    </xf>
    <xf numFmtId="3" fontId="11" fillId="3" borderId="4" xfId="4" applyNumberFormat="1" applyFont="1" applyFill="1" applyBorder="1" applyAlignment="1">
      <alignment horizontal="center" vertical="center" wrapText="1"/>
    </xf>
    <xf numFmtId="3" fontId="11" fillId="3" borderId="14" xfId="0" applyNumberFormat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/>
    </xf>
    <xf numFmtId="3" fontId="13" fillId="3" borderId="4" xfId="4" applyNumberFormat="1" applyFont="1" applyFill="1" applyBorder="1" applyAlignment="1">
      <alignment horizontal="center" vertical="center" wrapText="1"/>
    </xf>
    <xf numFmtId="3" fontId="13" fillId="3" borderId="13" xfId="0" applyNumberFormat="1" applyFont="1" applyFill="1" applyBorder="1" applyAlignment="1">
      <alignment horizontal="center" vertical="center"/>
    </xf>
    <xf numFmtId="3" fontId="13" fillId="3" borderId="14" xfId="0" applyNumberFormat="1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 wrapText="1"/>
    </xf>
    <xf numFmtId="3" fontId="27" fillId="3" borderId="15" xfId="0" applyNumberFormat="1" applyFont="1" applyFill="1" applyBorder="1" applyAlignment="1">
      <alignment horizontal="center" vertical="center"/>
    </xf>
    <xf numFmtId="3" fontId="11" fillId="3" borderId="4" xfId="0" applyNumberFormat="1" applyFont="1" applyFill="1" applyBorder="1" applyAlignment="1">
      <alignment horizontal="center" vertical="center"/>
    </xf>
    <xf numFmtId="3" fontId="13" fillId="8" borderId="4" xfId="2" applyNumberFormat="1" applyFont="1" applyFill="1" applyBorder="1" applyAlignment="1">
      <alignment horizontal="center" vertical="center" wrapText="1"/>
    </xf>
    <xf numFmtId="3" fontId="27" fillId="3" borderId="13" xfId="0" applyNumberFormat="1" applyFont="1" applyFill="1" applyBorder="1" applyAlignment="1">
      <alignment horizontal="center" vertical="center"/>
    </xf>
    <xf numFmtId="3" fontId="27" fillId="3" borderId="4" xfId="4" applyNumberFormat="1" applyFont="1" applyFill="1" applyBorder="1" applyAlignment="1">
      <alignment horizontal="center" vertical="center" wrapText="1"/>
    </xf>
    <xf numFmtId="3" fontId="27" fillId="3" borderId="14" xfId="0" applyNumberFormat="1" applyFont="1" applyFill="1" applyBorder="1" applyAlignment="1">
      <alignment horizontal="center" vertical="center"/>
    </xf>
    <xf numFmtId="3" fontId="27" fillId="3" borderId="2" xfId="0" applyNumberFormat="1" applyFont="1" applyFill="1" applyBorder="1" applyAlignment="1">
      <alignment horizontal="center" vertical="center" wrapText="1"/>
    </xf>
    <xf numFmtId="3" fontId="9" fillId="3" borderId="4" xfId="4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 wrapText="1"/>
    </xf>
    <xf numFmtId="3" fontId="10" fillId="12" borderId="13" xfId="0" applyNumberFormat="1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10" fillId="3" borderId="14" xfId="0" applyNumberFormat="1" applyFont="1" applyFill="1" applyBorder="1" applyAlignment="1">
      <alignment horizontal="center" vertical="center" wrapText="1"/>
    </xf>
    <xf numFmtId="3" fontId="10" fillId="12" borderId="13" xfId="0" applyNumberFormat="1" applyFont="1" applyFill="1" applyBorder="1" applyAlignment="1">
      <alignment horizontal="center" vertical="center"/>
    </xf>
    <xf numFmtId="3" fontId="9" fillId="12" borderId="13" xfId="0" applyNumberFormat="1" applyFont="1" applyFill="1" applyBorder="1" applyAlignment="1">
      <alignment horizontal="center" vertical="center" wrapText="1"/>
    </xf>
    <xf numFmtId="3" fontId="12" fillId="12" borderId="4" xfId="0" applyNumberFormat="1" applyFont="1" applyFill="1" applyBorder="1" applyAlignment="1">
      <alignment horizontal="center" vertical="center" wrapText="1"/>
    </xf>
    <xf numFmtId="3" fontId="10" fillId="0" borderId="3" xfId="5" applyNumberFormat="1" applyFont="1" applyBorder="1" applyAlignment="1">
      <alignment horizontal="center" vertical="center"/>
    </xf>
    <xf numFmtId="3" fontId="10" fillId="0" borderId="3" xfId="6" applyNumberFormat="1" applyFont="1" applyBorder="1" applyAlignment="1">
      <alignment horizontal="center" vertical="center"/>
    </xf>
    <xf numFmtId="3" fontId="10" fillId="3" borderId="3" xfId="5" applyNumberFormat="1" applyFont="1" applyFill="1" applyBorder="1" applyAlignment="1">
      <alignment horizontal="center" vertical="center"/>
    </xf>
    <xf numFmtId="3" fontId="9" fillId="3" borderId="3" xfId="5" applyNumberFormat="1" applyFont="1" applyFill="1" applyBorder="1" applyAlignment="1">
      <alignment horizontal="center" vertical="center"/>
    </xf>
    <xf numFmtId="3" fontId="13" fillId="8" borderId="4" xfId="5" applyNumberFormat="1" applyFont="1" applyFill="1" applyBorder="1" applyAlignment="1">
      <alignment horizontal="center" vertical="center"/>
    </xf>
    <xf numFmtId="3" fontId="13" fillId="8" borderId="14" xfId="5" applyNumberFormat="1" applyFont="1" applyFill="1" applyBorder="1" applyAlignment="1">
      <alignment horizontal="center" vertical="center"/>
    </xf>
    <xf numFmtId="3" fontId="10" fillId="0" borderId="13" xfId="5" applyNumberFormat="1" applyFont="1" applyBorder="1" applyAlignment="1">
      <alignment horizontal="center" vertical="center"/>
    </xf>
    <xf numFmtId="3" fontId="10" fillId="0" borderId="13" xfId="6" applyNumberFormat="1" applyFont="1" applyBorder="1" applyAlignment="1">
      <alignment horizontal="center" vertical="center"/>
    </xf>
    <xf numFmtId="3" fontId="10" fillId="3" borderId="27" xfId="0" applyNumberFormat="1" applyFont="1" applyFill="1" applyBorder="1" applyAlignment="1">
      <alignment horizontal="center" vertical="center"/>
    </xf>
    <xf numFmtId="3" fontId="10" fillId="3" borderId="28" xfId="0" applyNumberFormat="1" applyFont="1" applyFill="1" applyBorder="1" applyAlignment="1">
      <alignment horizontal="center" vertical="center"/>
    </xf>
    <xf numFmtId="3" fontId="10" fillId="0" borderId="26" xfId="6" applyNumberFormat="1" applyFont="1" applyBorder="1" applyAlignment="1">
      <alignment horizontal="center" vertical="center"/>
    </xf>
    <xf numFmtId="3" fontId="10" fillId="3" borderId="29" xfId="0" applyNumberFormat="1" applyFont="1" applyFill="1" applyBorder="1" applyAlignment="1">
      <alignment horizontal="center" vertical="center"/>
    </xf>
    <xf numFmtId="3" fontId="9" fillId="3" borderId="30" xfId="0" applyNumberFormat="1" applyFont="1" applyFill="1" applyBorder="1" applyAlignment="1">
      <alignment horizontal="center" vertical="center"/>
    </xf>
    <xf numFmtId="3" fontId="9" fillId="3" borderId="29" xfId="0" applyNumberFormat="1" applyFont="1" applyFill="1" applyBorder="1" applyAlignment="1">
      <alignment horizontal="center" vertical="center"/>
    </xf>
    <xf numFmtId="3" fontId="9" fillId="3" borderId="27" xfId="0" applyNumberFormat="1" applyFont="1" applyFill="1" applyBorder="1" applyAlignment="1">
      <alignment horizontal="center" vertical="center"/>
    </xf>
    <xf numFmtId="3" fontId="9" fillId="3" borderId="28" xfId="0" applyNumberFormat="1" applyFont="1" applyFill="1" applyBorder="1" applyAlignment="1">
      <alignment horizontal="center" vertical="center"/>
    </xf>
    <xf numFmtId="3" fontId="9" fillId="8" borderId="31" xfId="5" applyNumberFormat="1" applyFont="1" applyFill="1" applyBorder="1" applyAlignment="1">
      <alignment horizontal="center" vertical="center"/>
    </xf>
    <xf numFmtId="3" fontId="9" fillId="3" borderId="31" xfId="0" applyNumberFormat="1" applyFont="1" applyFill="1" applyBorder="1" applyAlignment="1">
      <alignment horizontal="center" vertical="center"/>
    </xf>
    <xf numFmtId="3" fontId="9" fillId="8" borderId="29" xfId="5" applyNumberFormat="1" applyFont="1" applyFill="1" applyBorder="1" applyAlignment="1">
      <alignment horizontal="center" vertical="center"/>
    </xf>
    <xf numFmtId="3" fontId="9" fillId="8" borderId="27" xfId="5" applyNumberFormat="1" applyFont="1" applyFill="1" applyBorder="1" applyAlignment="1">
      <alignment horizontal="center" vertical="center"/>
    </xf>
    <xf numFmtId="3" fontId="9" fillId="8" borderId="27" xfId="6" applyNumberFormat="1" applyFont="1" applyFill="1" applyBorder="1" applyAlignment="1">
      <alignment horizontal="center" vertical="center"/>
    </xf>
    <xf numFmtId="3" fontId="9" fillId="8" borderId="31" xfId="6" applyNumberFormat="1" applyFont="1" applyFill="1" applyBorder="1" applyAlignment="1">
      <alignment horizontal="center" vertical="center"/>
    </xf>
    <xf numFmtId="3" fontId="10" fillId="8" borderId="26" xfId="2" applyNumberFormat="1" applyFont="1" applyFill="1" applyBorder="1" applyAlignment="1">
      <alignment horizontal="center" vertical="center" wrapText="1"/>
    </xf>
    <xf numFmtId="3" fontId="10" fillId="8" borderId="26" xfId="2" applyNumberFormat="1" applyFont="1" applyFill="1" applyBorder="1" applyAlignment="1">
      <alignment horizontal="center" vertical="center"/>
    </xf>
    <xf numFmtId="3" fontId="9" fillId="8" borderId="31" xfId="2" applyNumberFormat="1" applyFont="1" applyFill="1" applyBorder="1" applyAlignment="1">
      <alignment horizontal="center" vertical="center" wrapText="1"/>
    </xf>
    <xf numFmtId="3" fontId="28" fillId="8" borderId="28" xfId="5" applyNumberFormat="1" applyFont="1" applyFill="1" applyBorder="1" applyAlignment="1">
      <alignment horizontal="center" vertical="center"/>
    </xf>
    <xf numFmtId="3" fontId="28" fillId="8" borderId="31" xfId="2" applyNumberFormat="1" applyFont="1" applyFill="1" applyBorder="1" applyAlignment="1">
      <alignment horizontal="center" vertical="center" wrapText="1"/>
    </xf>
    <xf numFmtId="3" fontId="10" fillId="3" borderId="31" xfId="5" applyNumberFormat="1" applyFont="1" applyFill="1" applyBorder="1" applyAlignment="1">
      <alignment horizontal="center" vertical="center"/>
    </xf>
    <xf numFmtId="3" fontId="10" fillId="8" borderId="31" xfId="6" applyNumberFormat="1" applyFont="1" applyFill="1" applyBorder="1" applyAlignment="1">
      <alignment horizontal="center" vertical="center"/>
    </xf>
    <xf numFmtId="3" fontId="10" fillId="0" borderId="26" xfId="2" applyNumberFormat="1" applyFont="1" applyBorder="1" applyAlignment="1">
      <alignment horizontal="center" vertical="center"/>
    </xf>
    <xf numFmtId="3" fontId="10" fillId="0" borderId="26" xfId="3" applyNumberFormat="1" applyFont="1" applyBorder="1" applyAlignment="1">
      <alignment horizontal="center" vertical="center"/>
    </xf>
    <xf numFmtId="3" fontId="9" fillId="0" borderId="31" xfId="5" applyNumberFormat="1" applyFont="1" applyBorder="1" applyAlignment="1">
      <alignment horizontal="center" vertical="center"/>
    </xf>
    <xf numFmtId="3" fontId="28" fillId="0" borderId="31" xfId="6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3" fontId="9" fillId="3" borderId="32" xfId="0" applyNumberFormat="1" applyFont="1" applyFill="1" applyBorder="1" applyAlignment="1">
      <alignment horizontal="center" vertical="center"/>
    </xf>
    <xf numFmtId="3" fontId="9" fillId="3" borderId="33" xfId="0" applyNumberFormat="1" applyFont="1" applyFill="1" applyBorder="1" applyAlignment="1">
      <alignment horizontal="center" vertical="center"/>
    </xf>
    <xf numFmtId="3" fontId="9" fillId="0" borderId="34" xfId="5" applyNumberFormat="1" applyFont="1" applyBorder="1" applyAlignment="1">
      <alignment horizontal="center" vertical="center"/>
    </xf>
    <xf numFmtId="3" fontId="9" fillId="3" borderId="35" xfId="0" applyNumberFormat="1" applyFont="1" applyFill="1" applyBorder="1" applyAlignment="1">
      <alignment horizontal="center" vertical="center"/>
    </xf>
    <xf numFmtId="3" fontId="9" fillId="3" borderId="36" xfId="0" applyNumberFormat="1" applyFont="1" applyFill="1" applyBorder="1" applyAlignment="1">
      <alignment horizontal="center" vertical="center"/>
    </xf>
    <xf numFmtId="3" fontId="9" fillId="8" borderId="34" xfId="5" applyNumberFormat="1" applyFont="1" applyFill="1" applyBorder="1" applyAlignment="1">
      <alignment horizontal="center" vertical="center"/>
    </xf>
    <xf numFmtId="3" fontId="9" fillId="3" borderId="34" xfId="0" applyNumberFormat="1" applyFont="1" applyFill="1" applyBorder="1" applyAlignment="1">
      <alignment horizontal="center" vertical="center"/>
    </xf>
    <xf numFmtId="3" fontId="10" fillId="3" borderId="35" xfId="0" applyNumberFormat="1" applyFont="1" applyFill="1" applyBorder="1" applyAlignment="1">
      <alignment horizontal="center" vertical="center"/>
    </xf>
    <xf numFmtId="3" fontId="10" fillId="3" borderId="32" xfId="0" applyNumberFormat="1" applyFont="1" applyFill="1" applyBorder="1" applyAlignment="1">
      <alignment horizontal="center" vertical="center"/>
    </xf>
    <xf numFmtId="3" fontId="10" fillId="3" borderId="33" xfId="0" applyNumberFormat="1" applyFont="1" applyFill="1" applyBorder="1" applyAlignment="1">
      <alignment horizontal="center" vertical="center"/>
    </xf>
    <xf numFmtId="3" fontId="10" fillId="0" borderId="34" xfId="5" applyNumberFormat="1" applyFont="1" applyBorder="1" applyAlignment="1">
      <alignment horizontal="center" vertical="center"/>
    </xf>
    <xf numFmtId="3" fontId="10" fillId="8" borderId="35" xfId="5" applyNumberFormat="1" applyFont="1" applyFill="1" applyBorder="1" applyAlignment="1">
      <alignment horizontal="center" vertical="center"/>
    </xf>
    <xf numFmtId="3" fontId="10" fillId="7" borderId="38" xfId="5" applyNumberFormat="1" applyFont="1" applyFill="1" applyBorder="1" applyAlignment="1">
      <alignment horizontal="center" vertical="center"/>
    </xf>
    <xf numFmtId="3" fontId="10" fillId="0" borderId="34" xfId="6" applyNumberFormat="1" applyFont="1" applyBorder="1" applyAlignment="1">
      <alignment horizontal="center" vertical="center"/>
    </xf>
    <xf numFmtId="3" fontId="10" fillId="8" borderId="32" xfId="5" applyNumberFormat="1" applyFont="1" applyFill="1" applyBorder="1" applyAlignment="1">
      <alignment horizontal="center" vertical="center"/>
    </xf>
    <xf numFmtId="3" fontId="10" fillId="7" borderId="39" xfId="5" applyNumberFormat="1" applyFont="1" applyFill="1" applyBorder="1" applyAlignment="1">
      <alignment horizontal="center" vertical="center"/>
    </xf>
    <xf numFmtId="3" fontId="9" fillId="3" borderId="40" xfId="0" applyNumberFormat="1" applyFont="1" applyFill="1" applyBorder="1" applyAlignment="1">
      <alignment horizontal="center" vertical="center"/>
    </xf>
    <xf numFmtId="3" fontId="9" fillId="3" borderId="41" xfId="0" applyNumberFormat="1" applyFont="1" applyFill="1" applyBorder="1" applyAlignment="1">
      <alignment horizontal="center" vertical="center"/>
    </xf>
    <xf numFmtId="3" fontId="9" fillId="3" borderId="42" xfId="0" applyNumberFormat="1" applyFont="1" applyFill="1" applyBorder="1" applyAlignment="1">
      <alignment horizontal="center" vertical="center"/>
    </xf>
    <xf numFmtId="3" fontId="10" fillId="3" borderId="42" xfId="0" applyNumberFormat="1" applyFont="1" applyFill="1" applyBorder="1" applyAlignment="1">
      <alignment horizontal="center" vertical="center"/>
    </xf>
    <xf numFmtId="3" fontId="10" fillId="3" borderId="34" xfId="6" applyNumberFormat="1" applyFont="1" applyFill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3" fontId="10" fillId="8" borderId="34" xfId="5" applyNumberFormat="1" applyFont="1" applyFill="1" applyBorder="1" applyAlignment="1">
      <alignment horizontal="center" vertical="center"/>
    </xf>
    <xf numFmtId="0" fontId="30" fillId="3" borderId="42" xfId="0" applyFont="1" applyFill="1" applyBorder="1"/>
    <xf numFmtId="3" fontId="9" fillId="8" borderId="34" xfId="2" applyNumberFormat="1" applyFont="1" applyFill="1" applyBorder="1" applyAlignment="1">
      <alignment horizontal="center" vertical="center" wrapText="1"/>
    </xf>
    <xf numFmtId="3" fontId="9" fillId="3" borderId="34" xfId="5" applyNumberFormat="1" applyFont="1" applyFill="1" applyBorder="1" applyAlignment="1">
      <alignment horizontal="center" vertical="center"/>
    </xf>
    <xf numFmtId="3" fontId="28" fillId="0" borderId="34" xfId="6" applyNumberFormat="1" applyFont="1" applyBorder="1" applyAlignment="1">
      <alignment horizontal="center" vertical="center"/>
    </xf>
    <xf numFmtId="3" fontId="29" fillId="0" borderId="34" xfId="6" applyNumberFormat="1" applyFont="1" applyBorder="1" applyAlignment="1">
      <alignment horizontal="center" vertical="center"/>
    </xf>
    <xf numFmtId="3" fontId="9" fillId="2" borderId="35" xfId="0" applyNumberFormat="1" applyFont="1" applyFill="1" applyBorder="1" applyAlignment="1">
      <alignment horizontal="center" vertical="center"/>
    </xf>
    <xf numFmtId="3" fontId="9" fillId="2" borderId="42" xfId="0" applyNumberFormat="1" applyFont="1" applyFill="1" applyBorder="1" applyAlignment="1">
      <alignment horizontal="center" vertical="center"/>
    </xf>
    <xf numFmtId="3" fontId="9" fillId="2" borderId="33" xfId="0" applyNumberFormat="1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 vertical="center"/>
    </xf>
    <xf numFmtId="3" fontId="9" fillId="2" borderId="40" xfId="0" applyNumberFormat="1" applyFont="1" applyFill="1" applyBorder="1" applyAlignment="1">
      <alignment horizontal="center" vertical="center"/>
    </xf>
    <xf numFmtId="3" fontId="9" fillId="3" borderId="34" xfId="0" applyNumberFormat="1" applyFont="1" applyFill="1" applyBorder="1" applyAlignment="1">
      <alignment horizontal="center" vertical="center" wrapText="1"/>
    </xf>
    <xf numFmtId="3" fontId="10" fillId="3" borderId="41" xfId="0" applyNumberFormat="1" applyFont="1" applyFill="1" applyBorder="1" applyAlignment="1">
      <alignment horizontal="center" vertical="center" wrapText="1"/>
    </xf>
    <xf numFmtId="3" fontId="10" fillId="3" borderId="34" xfId="0" applyNumberFormat="1" applyFont="1" applyFill="1" applyBorder="1" applyAlignment="1">
      <alignment horizontal="center" vertical="center" wrapText="1"/>
    </xf>
    <xf numFmtId="3" fontId="10" fillId="3" borderId="41" xfId="0" applyNumberFormat="1" applyFont="1" applyFill="1" applyBorder="1" applyAlignment="1">
      <alignment horizontal="center" vertical="center"/>
    </xf>
    <xf numFmtId="3" fontId="10" fillId="3" borderId="34" xfId="0" applyNumberFormat="1" applyFont="1" applyFill="1" applyBorder="1" applyAlignment="1">
      <alignment horizontal="center" vertical="center"/>
    </xf>
    <xf numFmtId="3" fontId="10" fillId="3" borderId="34" xfId="0" applyNumberFormat="1" applyFont="1" applyFill="1" applyBorder="1" applyAlignment="1">
      <alignment horizontal="center"/>
    </xf>
    <xf numFmtId="3" fontId="10" fillId="14" borderId="34" xfId="0" applyNumberFormat="1" applyFont="1" applyFill="1" applyBorder="1" applyAlignment="1">
      <alignment horizontal="center" vertical="center"/>
    </xf>
    <xf numFmtId="3" fontId="9" fillId="14" borderId="34" xfId="0" applyNumberFormat="1" applyFont="1" applyFill="1" applyBorder="1" applyAlignment="1">
      <alignment horizontal="center" vertical="center"/>
    </xf>
    <xf numFmtId="3" fontId="10" fillId="3" borderId="35" xfId="0" applyNumberFormat="1" applyFont="1" applyFill="1" applyBorder="1" applyAlignment="1">
      <alignment horizontal="center" vertical="center" wrapText="1"/>
    </xf>
    <xf numFmtId="3" fontId="9" fillId="12" borderId="35" xfId="0" applyNumberFormat="1" applyFont="1" applyFill="1" applyBorder="1" applyAlignment="1">
      <alignment horizontal="center" vertical="center"/>
    </xf>
    <xf numFmtId="3" fontId="10" fillId="12" borderId="34" xfId="0" applyNumberFormat="1" applyFont="1" applyFill="1" applyBorder="1" applyAlignment="1">
      <alignment horizontal="center" vertical="center"/>
    </xf>
    <xf numFmtId="3" fontId="9" fillId="3" borderId="35" xfId="0" applyNumberFormat="1" applyFont="1" applyFill="1" applyBorder="1" applyAlignment="1">
      <alignment horizontal="center" vertical="center" wrapText="1"/>
    </xf>
    <xf numFmtId="3" fontId="9" fillId="3" borderId="42" xfId="0" applyNumberFormat="1" applyFont="1" applyFill="1" applyBorder="1" applyAlignment="1">
      <alignment horizontal="center" vertical="center" wrapText="1"/>
    </xf>
    <xf numFmtId="3" fontId="13" fillId="3" borderId="42" xfId="0" applyNumberFormat="1" applyFont="1" applyFill="1" applyBorder="1" applyAlignment="1">
      <alignment horizontal="center" vertical="center"/>
    </xf>
    <xf numFmtId="3" fontId="19" fillId="3" borderId="33" xfId="0" applyNumberFormat="1" applyFont="1" applyFill="1" applyBorder="1" applyAlignment="1">
      <alignment horizontal="center" vertical="center"/>
    </xf>
    <xf numFmtId="3" fontId="19" fillId="3" borderId="41" xfId="0" applyNumberFormat="1" applyFont="1" applyFill="1" applyBorder="1" applyAlignment="1">
      <alignment horizontal="center" vertical="center"/>
    </xf>
    <xf numFmtId="3" fontId="13" fillId="12" borderId="34" xfId="0" applyNumberFormat="1" applyFont="1" applyFill="1" applyBorder="1" applyAlignment="1">
      <alignment horizontal="center" vertical="center"/>
    </xf>
    <xf numFmtId="3" fontId="10" fillId="12" borderId="42" xfId="0" applyNumberFormat="1" applyFont="1" applyFill="1" applyBorder="1" applyAlignment="1">
      <alignment horizontal="center" vertical="center"/>
    </xf>
    <xf numFmtId="3" fontId="9" fillId="12" borderId="34" xfId="0" applyNumberFormat="1" applyFont="1" applyFill="1" applyBorder="1" applyAlignment="1">
      <alignment horizontal="center" vertical="center"/>
    </xf>
    <xf numFmtId="3" fontId="24" fillId="3" borderId="42" xfId="0" applyNumberFormat="1" applyFont="1" applyFill="1" applyBorder="1" applyAlignment="1">
      <alignment horizontal="center" vertical="center"/>
    </xf>
    <xf numFmtId="3" fontId="10" fillId="9" borderId="40" xfId="2" applyNumberFormat="1" applyFont="1" applyFill="1" applyBorder="1" applyAlignment="1">
      <alignment horizontal="center" vertical="center" wrapText="1"/>
    </xf>
    <xf numFmtId="0" fontId="9" fillId="5" borderId="34" xfId="2" applyFont="1" applyFill="1" applyBorder="1" applyAlignment="1">
      <alignment horizontal="center" vertical="center" wrapText="1"/>
    </xf>
    <xf numFmtId="3" fontId="10" fillId="4" borderId="35" xfId="0" applyNumberFormat="1" applyFont="1" applyFill="1" applyBorder="1" applyAlignment="1">
      <alignment horizontal="center" vertical="center"/>
    </xf>
    <xf numFmtId="3" fontId="10" fillId="4" borderId="42" xfId="0" applyNumberFormat="1" applyFont="1" applyFill="1" applyBorder="1" applyAlignment="1">
      <alignment horizontal="center" vertical="center"/>
    </xf>
    <xf numFmtId="3" fontId="9" fillId="4" borderId="34" xfId="0" applyNumberFormat="1" applyFont="1" applyFill="1" applyBorder="1" applyAlignment="1">
      <alignment horizontal="center" vertical="center"/>
    </xf>
    <xf numFmtId="3" fontId="9" fillId="4" borderId="35" xfId="0" applyNumberFormat="1" applyFont="1" applyFill="1" applyBorder="1" applyAlignment="1">
      <alignment horizontal="center" vertical="center"/>
    </xf>
    <xf numFmtId="3" fontId="9" fillId="4" borderId="42" xfId="0" applyNumberFormat="1" applyFont="1" applyFill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10" fillId="4" borderId="34" xfId="0" applyNumberFormat="1" applyFont="1" applyFill="1" applyBorder="1" applyAlignment="1">
      <alignment horizontal="center" vertical="center"/>
    </xf>
    <xf numFmtId="3" fontId="9" fillId="3" borderId="33" xfId="0" applyNumberFormat="1" applyFont="1" applyFill="1" applyBorder="1" applyAlignment="1">
      <alignment horizontal="center" vertical="center" wrapText="1"/>
    </xf>
    <xf numFmtId="3" fontId="9" fillId="2" borderId="43" xfId="0" applyNumberFormat="1" applyFont="1" applyFill="1" applyBorder="1" applyAlignment="1">
      <alignment horizontal="center" vertical="center"/>
    </xf>
    <xf numFmtId="3" fontId="9" fillId="2" borderId="19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0" fillId="9" borderId="12" xfId="2" applyFont="1" applyFill="1" applyBorder="1" applyAlignment="1">
      <alignment horizontal="left" vertical="center" wrapText="1"/>
    </xf>
    <xf numFmtId="3" fontId="4" fillId="3" borderId="50" xfId="0" applyNumberFormat="1" applyFont="1" applyFill="1" applyBorder="1"/>
    <xf numFmtId="164" fontId="10" fillId="9" borderId="12" xfId="2" applyNumberFormat="1" applyFont="1" applyFill="1" applyBorder="1" applyAlignment="1" applyProtection="1">
      <alignment horizontal="left" vertical="center" wrapText="1"/>
      <protection locked="0"/>
    </xf>
    <xf numFmtId="0" fontId="10" fillId="9" borderId="12" xfId="2" applyFont="1" applyFill="1" applyBorder="1" applyAlignment="1" applyProtection="1">
      <alignment horizontal="left" vertical="center" wrapText="1"/>
      <protection locked="0"/>
    </xf>
    <xf numFmtId="0" fontId="10" fillId="3" borderId="12" xfId="2" applyFont="1" applyFill="1" applyBorder="1" applyAlignment="1">
      <alignment horizontal="left" vertical="center" wrapText="1"/>
    </xf>
    <xf numFmtId="0" fontId="10" fillId="8" borderId="12" xfId="2" applyFont="1" applyFill="1" applyBorder="1" applyAlignment="1">
      <alignment horizontal="left" vertical="center" wrapText="1"/>
    </xf>
    <xf numFmtId="0" fontId="10" fillId="8" borderId="12" xfId="2" applyFont="1" applyFill="1" applyBorder="1" applyAlignment="1" applyProtection="1">
      <alignment horizontal="left" vertical="center" wrapText="1"/>
      <protection locked="0"/>
    </xf>
    <xf numFmtId="0" fontId="10" fillId="3" borderId="12" xfId="2" applyFont="1" applyFill="1" applyBorder="1" applyAlignment="1" applyProtection="1">
      <alignment horizontal="left" vertical="center" wrapText="1"/>
      <protection locked="0"/>
    </xf>
    <xf numFmtId="0" fontId="10" fillId="8" borderId="12" xfId="1" applyFont="1" applyFill="1" applyBorder="1" applyAlignment="1">
      <alignment horizontal="left" vertical="center" wrapText="1"/>
    </xf>
    <xf numFmtId="0" fontId="10" fillId="9" borderId="12" xfId="1" applyFont="1" applyFill="1" applyBorder="1" applyAlignment="1" applyProtection="1">
      <alignment horizontal="left" vertical="center" wrapText="1"/>
      <protection locked="0"/>
    </xf>
    <xf numFmtId="0" fontId="4" fillId="3" borderId="16" xfId="0" applyFont="1" applyFill="1" applyBorder="1"/>
    <xf numFmtId="3" fontId="25" fillId="3" borderId="51" xfId="0" applyNumberFormat="1" applyFont="1" applyFill="1" applyBorder="1"/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 wrapText="1"/>
    </xf>
    <xf numFmtId="2" fontId="7" fillId="0" borderId="49" xfId="0" applyNumberFormat="1" applyFont="1" applyBorder="1" applyAlignment="1">
      <alignment horizontal="center" vertical="center" wrapText="1"/>
    </xf>
    <xf numFmtId="2" fontId="10" fillId="9" borderId="12" xfId="2" applyNumberFormat="1" applyFont="1" applyFill="1" applyBorder="1" applyAlignment="1">
      <alignment horizontal="left" vertical="center" wrapText="1"/>
    </xf>
    <xf numFmtId="3" fontId="4" fillId="0" borderId="35" xfId="0" applyNumberFormat="1" applyFont="1" applyBorder="1" applyAlignment="1">
      <alignment horizontal="center" vertical="center"/>
    </xf>
    <xf numFmtId="3" fontId="7" fillId="0" borderId="50" xfId="0" applyNumberFormat="1" applyFont="1" applyBorder="1" applyAlignment="1">
      <alignment horizontal="center" vertical="center"/>
    </xf>
    <xf numFmtId="2" fontId="10" fillId="9" borderId="12" xfId="2" applyNumberFormat="1" applyFont="1" applyFill="1" applyBorder="1" applyAlignment="1" applyProtection="1">
      <alignment horizontal="left" vertical="center" wrapText="1"/>
      <protection locked="0"/>
    </xf>
    <xf numFmtId="2" fontId="10" fillId="3" borderId="12" xfId="2" applyNumberFormat="1" applyFont="1" applyFill="1" applyBorder="1" applyAlignment="1">
      <alignment horizontal="left" vertical="center" wrapText="1"/>
    </xf>
    <xf numFmtId="2" fontId="10" fillId="8" borderId="12" xfId="2" applyNumberFormat="1" applyFont="1" applyFill="1" applyBorder="1" applyAlignment="1">
      <alignment horizontal="left" vertical="center" wrapText="1"/>
    </xf>
    <xf numFmtId="2" fontId="10" fillId="8" borderId="12" xfId="2" applyNumberFormat="1" applyFont="1" applyFill="1" applyBorder="1" applyAlignment="1" applyProtection="1">
      <alignment horizontal="left" vertical="center" wrapText="1"/>
      <protection locked="0"/>
    </xf>
    <xf numFmtId="2" fontId="10" fillId="3" borderId="12" xfId="2" applyNumberFormat="1" applyFont="1" applyFill="1" applyBorder="1" applyAlignment="1" applyProtection="1">
      <alignment horizontal="left" vertical="center" wrapText="1"/>
      <protection locked="0"/>
    </xf>
    <xf numFmtId="2" fontId="10" fillId="8" borderId="12" xfId="1" applyNumberFormat="1" applyFont="1" applyFill="1" applyBorder="1" applyAlignment="1">
      <alignment horizontal="left" vertical="center" wrapText="1"/>
    </xf>
    <xf numFmtId="2" fontId="10" fillId="9" borderId="12" xfId="1" applyNumberFormat="1" applyFont="1" applyFill="1" applyBorder="1" applyAlignment="1" applyProtection="1">
      <alignment horizontal="left" vertical="center" wrapText="1"/>
      <protection locked="0"/>
    </xf>
    <xf numFmtId="3" fontId="7" fillId="0" borderId="51" xfId="0" applyNumberFormat="1" applyFont="1" applyBorder="1" applyAlignment="1">
      <alignment horizontal="center" vertical="center"/>
    </xf>
    <xf numFmtId="2" fontId="25" fillId="3" borderId="16" xfId="0" applyNumberFormat="1" applyFont="1" applyFill="1" applyBorder="1"/>
    <xf numFmtId="3" fontId="25" fillId="0" borderId="6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3" fontId="4" fillId="3" borderId="35" xfId="0" applyNumberFormat="1" applyFont="1" applyFill="1" applyBorder="1" applyAlignment="1">
      <alignment horizontal="center" vertical="center"/>
    </xf>
    <xf numFmtId="3" fontId="4" fillId="3" borderId="37" xfId="0" applyNumberFormat="1" applyFont="1" applyFill="1" applyBorder="1" applyAlignment="1">
      <alignment horizontal="center" vertical="center"/>
    </xf>
    <xf numFmtId="3" fontId="25" fillId="3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3" fontId="9" fillId="3" borderId="55" xfId="0" applyNumberFormat="1" applyFont="1" applyFill="1" applyBorder="1" applyAlignment="1">
      <alignment horizontal="center" vertical="center"/>
    </xf>
    <xf numFmtId="3" fontId="9" fillId="3" borderId="55" xfId="0" applyNumberFormat="1" applyFont="1" applyFill="1" applyBorder="1" applyAlignment="1">
      <alignment horizontal="center" vertical="center" wrapText="1"/>
    </xf>
    <xf numFmtId="3" fontId="10" fillId="3" borderId="55" xfId="0" applyNumberFormat="1" applyFont="1" applyFill="1" applyBorder="1" applyAlignment="1">
      <alignment horizontal="center" vertical="center" wrapText="1"/>
    </xf>
    <xf numFmtId="3" fontId="13" fillId="0" borderId="55" xfId="0" applyNumberFormat="1" applyFont="1" applyBorder="1" applyAlignment="1">
      <alignment horizontal="center" vertical="center"/>
    </xf>
    <xf numFmtId="0" fontId="10" fillId="0" borderId="55" xfId="0" applyFont="1" applyBorder="1" applyAlignment="1">
      <alignment horizontal="left" vertical="top" wrapText="1"/>
    </xf>
    <xf numFmtId="0" fontId="4" fillId="0" borderId="0" xfId="0" applyFont="1"/>
    <xf numFmtId="3" fontId="9" fillId="2" borderId="0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 wrapText="1"/>
    </xf>
    <xf numFmtId="49" fontId="9" fillId="3" borderId="0" xfId="0" applyNumberFormat="1" applyFont="1" applyFill="1" applyAlignment="1">
      <alignment horizontal="left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10" fillId="5" borderId="0" xfId="2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/>
    </xf>
    <xf numFmtId="0" fontId="9" fillId="8" borderId="0" xfId="2" applyFont="1" applyFill="1" applyBorder="1" applyAlignment="1">
      <alignment horizontal="left" vertical="center" wrapText="1"/>
    </xf>
    <xf numFmtId="3" fontId="27" fillId="3" borderId="0" xfId="0" applyNumberFormat="1" applyFont="1" applyFill="1" applyBorder="1" applyAlignment="1">
      <alignment horizontal="center" vertical="center"/>
    </xf>
    <xf numFmtId="3" fontId="10" fillId="9" borderId="0" xfId="2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3" fontId="36" fillId="0" borderId="0" xfId="0" applyNumberFormat="1" applyFont="1"/>
    <xf numFmtId="0" fontId="36" fillId="0" borderId="0" xfId="0" applyFont="1"/>
    <xf numFmtId="0" fontId="3" fillId="0" borderId="0" xfId="9"/>
    <xf numFmtId="0" fontId="40" fillId="0" borderId="0" xfId="0" applyFont="1"/>
    <xf numFmtId="49" fontId="10" fillId="4" borderId="0" xfId="0" applyNumberFormat="1" applyFont="1" applyFill="1" applyBorder="1" applyAlignment="1">
      <alignment horizontal="center" vertical="center" wrapText="1"/>
    </xf>
    <xf numFmtId="49" fontId="39" fillId="4" borderId="0" xfId="0" applyNumberFormat="1" applyFont="1" applyFill="1" applyAlignment="1">
      <alignment horizontal="center" vertical="center" wrapText="1"/>
    </xf>
    <xf numFmtId="49" fontId="39" fillId="4" borderId="0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4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41" fillId="0" borderId="0" xfId="0" applyFont="1"/>
    <xf numFmtId="0" fontId="42" fillId="0" borderId="0" xfId="0" applyFont="1"/>
    <xf numFmtId="0" fontId="0" fillId="0" borderId="0" xfId="0" applyFill="1"/>
    <xf numFmtId="0" fontId="0" fillId="2" borderId="0" xfId="0" applyFill="1"/>
    <xf numFmtId="0" fontId="0" fillId="0" borderId="0" xfId="0" applyFont="1" applyFill="1"/>
    <xf numFmtId="0" fontId="41" fillId="0" borderId="0" xfId="0" applyFont="1" applyFill="1"/>
    <xf numFmtId="3" fontId="10" fillId="8" borderId="0" xfId="5" applyNumberFormat="1" applyFont="1" applyFill="1" applyBorder="1" applyAlignment="1">
      <alignment horizontal="center" vertical="center"/>
    </xf>
    <xf numFmtId="4" fontId="0" fillId="0" borderId="0" xfId="0" applyNumberFormat="1"/>
    <xf numFmtId="3" fontId="3" fillId="0" borderId="0" xfId="9" applyNumberFormat="1"/>
    <xf numFmtId="0" fontId="45" fillId="0" borderId="0" xfId="0" applyFont="1" applyFill="1"/>
    <xf numFmtId="3" fontId="45" fillId="0" borderId="0" xfId="0" applyNumberFormat="1" applyFont="1" applyFill="1"/>
    <xf numFmtId="0" fontId="10" fillId="3" borderId="55" xfId="0" applyFont="1" applyFill="1" applyBorder="1" applyAlignment="1">
      <alignment horizontal="center" vertical="center"/>
    </xf>
    <xf numFmtId="3" fontId="10" fillId="3" borderId="55" xfId="0" applyNumberFormat="1" applyFont="1" applyFill="1" applyBorder="1" applyAlignment="1">
      <alignment wrapText="1"/>
    </xf>
    <xf numFmtId="3" fontId="10" fillId="0" borderId="55" xfId="0" applyNumberFormat="1" applyFont="1" applyBorder="1"/>
    <xf numFmtId="0" fontId="10" fillId="0" borderId="55" xfId="0" applyFont="1" applyBorder="1" applyAlignment="1">
      <alignment horizontal="left" wrapText="1"/>
    </xf>
    <xf numFmtId="0" fontId="10" fillId="0" borderId="55" xfId="0" applyFont="1" applyFill="1" applyBorder="1" applyAlignment="1">
      <alignment horizontal="left" wrapText="1"/>
    </xf>
    <xf numFmtId="0" fontId="9" fillId="3" borderId="55" xfId="0" applyFont="1" applyFill="1" applyBorder="1" applyAlignment="1">
      <alignment horizontal="center" vertical="center"/>
    </xf>
    <xf numFmtId="3" fontId="9" fillId="3" borderId="55" xfId="0" applyNumberFormat="1" applyFont="1" applyFill="1" applyBorder="1" applyAlignment="1">
      <alignment wrapText="1"/>
    </xf>
    <xf numFmtId="0" fontId="39" fillId="2" borderId="55" xfId="0" applyFont="1" applyFill="1" applyBorder="1" applyAlignment="1">
      <alignment horizontal="center" vertical="center" wrapText="1"/>
    </xf>
    <xf numFmtId="0" fontId="38" fillId="2" borderId="55" xfId="0" applyFont="1" applyFill="1" applyBorder="1" applyAlignment="1">
      <alignment horizontal="center" vertical="center" wrapText="1"/>
    </xf>
    <xf numFmtId="0" fontId="48" fillId="2" borderId="55" xfId="0" applyFont="1" applyFill="1" applyBorder="1" applyAlignment="1">
      <alignment horizontal="center" vertical="center" wrapText="1"/>
    </xf>
    <xf numFmtId="3" fontId="38" fillId="2" borderId="55" xfId="0" applyNumberFormat="1" applyFont="1" applyFill="1" applyBorder="1" applyAlignment="1">
      <alignment horizontal="center" vertical="center" wrapText="1"/>
    </xf>
    <xf numFmtId="3" fontId="38" fillId="2" borderId="55" xfId="0" applyNumberFormat="1" applyFont="1" applyFill="1" applyBorder="1" applyAlignment="1">
      <alignment horizontal="center" vertical="center"/>
    </xf>
    <xf numFmtId="0" fontId="38" fillId="2" borderId="55" xfId="0" applyFont="1" applyFill="1" applyBorder="1" applyAlignment="1">
      <alignment horizontal="center" vertical="center"/>
    </xf>
    <xf numFmtId="0" fontId="49" fillId="3" borderId="55" xfId="0" applyFont="1" applyFill="1" applyBorder="1" applyAlignment="1">
      <alignment horizontal="left" vertical="center" wrapText="1"/>
    </xf>
    <xf numFmtId="0" fontId="49" fillId="0" borderId="55" xfId="0" applyFont="1" applyBorder="1" applyAlignment="1">
      <alignment horizontal="left" vertical="top" wrapText="1"/>
    </xf>
    <xf numFmtId="0" fontId="49" fillId="0" borderId="55" xfId="0" applyFont="1" applyBorder="1" applyAlignment="1">
      <alignment horizontal="left" wrapText="1"/>
    </xf>
    <xf numFmtId="0" fontId="49" fillId="0" borderId="55" xfId="0" applyFont="1" applyFill="1" applyBorder="1" applyAlignment="1">
      <alignment horizontal="left" wrapText="1"/>
    </xf>
    <xf numFmtId="0" fontId="51" fillId="0" borderId="55" xfId="0" applyFont="1" applyBorder="1" applyAlignment="1">
      <alignment vertical="center" wrapText="1"/>
    </xf>
    <xf numFmtId="3" fontId="4" fillId="0" borderId="55" xfId="0" applyNumberFormat="1" applyFont="1" applyBorder="1"/>
    <xf numFmtId="0" fontId="52" fillId="0" borderId="55" xfId="0" applyFont="1" applyBorder="1" applyAlignment="1">
      <alignment wrapText="1"/>
    </xf>
    <xf numFmtId="4" fontId="4" fillId="0" borderId="55" xfId="0" applyNumberFormat="1" applyFont="1" applyBorder="1"/>
    <xf numFmtId="0" fontId="53" fillId="3" borderId="55" xfId="0" applyFont="1" applyFill="1" applyBorder="1" applyAlignment="1">
      <alignment horizontal="left" vertical="center" wrapText="1"/>
    </xf>
    <xf numFmtId="0" fontId="38" fillId="2" borderId="55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23" fillId="0" borderId="0" xfId="9" applyFont="1"/>
    <xf numFmtId="0" fontId="23" fillId="0" borderId="0" xfId="9" applyFont="1" applyAlignment="1">
      <alignment vertical="justify"/>
    </xf>
    <xf numFmtId="0" fontId="23" fillId="0" borderId="0" xfId="0" applyFont="1"/>
    <xf numFmtId="3" fontId="1" fillId="0" borderId="0" xfId="9" applyNumberFormat="1" applyFont="1"/>
    <xf numFmtId="0" fontId="0" fillId="0" borderId="0" xfId="0" applyBorder="1"/>
    <xf numFmtId="3" fontId="54" fillId="1" borderId="0" xfId="0" applyNumberFormat="1" applyFont="1" applyFill="1" applyBorder="1" applyAlignment="1">
      <alignment horizontal="center" vertical="center"/>
    </xf>
    <xf numFmtId="0" fontId="62" fillId="0" borderId="0" xfId="0" applyFont="1"/>
    <xf numFmtId="0" fontId="61" fillId="0" borderId="0" xfId="0" applyFont="1"/>
    <xf numFmtId="3" fontId="37" fillId="2" borderId="0" xfId="0" applyNumberFormat="1" applyFont="1" applyFill="1" applyBorder="1" applyAlignment="1">
      <alignment horizontal="center" vertical="center" wrapText="1"/>
    </xf>
    <xf numFmtId="3" fontId="37" fillId="19" borderId="0" xfId="0" applyNumberFormat="1" applyFont="1" applyFill="1" applyBorder="1" applyAlignment="1">
      <alignment horizontal="center" vertical="center" wrapText="1"/>
    </xf>
    <xf numFmtId="3" fontId="54" fillId="3" borderId="0" xfId="0" applyNumberFormat="1" applyFont="1" applyFill="1" applyBorder="1" applyAlignment="1">
      <alignment horizontal="center" vertical="center" wrapText="1"/>
    </xf>
    <xf numFmtId="3" fontId="54" fillId="4" borderId="0" xfId="0" applyNumberFormat="1" applyFont="1" applyFill="1" applyBorder="1" applyAlignment="1">
      <alignment horizontal="center" vertical="center" wrapText="1"/>
    </xf>
    <xf numFmtId="4" fontId="62" fillId="0" borderId="0" xfId="0" applyNumberFormat="1" applyFont="1"/>
    <xf numFmtId="0" fontId="36" fillId="3" borderId="0" xfId="0" applyFont="1" applyFill="1"/>
    <xf numFmtId="0" fontId="0" fillId="3" borderId="0" xfId="0" applyFill="1"/>
    <xf numFmtId="3" fontId="36" fillId="3" borderId="0" xfId="0" applyNumberFormat="1" applyFont="1" applyFill="1"/>
    <xf numFmtId="4" fontId="65" fillId="0" borderId="0" xfId="0" applyNumberFormat="1" applyFont="1"/>
    <xf numFmtId="0" fontId="62" fillId="3" borderId="0" xfId="0" applyFont="1" applyFill="1"/>
    <xf numFmtId="3" fontId="0" fillId="3" borderId="0" xfId="0" applyNumberFormat="1" applyFill="1"/>
    <xf numFmtId="0" fontId="36" fillId="20" borderId="0" xfId="0" applyFont="1" applyFill="1"/>
    <xf numFmtId="0" fontId="0" fillId="20" borderId="0" xfId="0" applyFill="1"/>
    <xf numFmtId="3" fontId="36" fillId="2" borderId="0" xfId="0" applyNumberFormat="1" applyFont="1" applyFill="1"/>
    <xf numFmtId="3" fontId="64" fillId="2" borderId="0" xfId="0" applyNumberFormat="1" applyFont="1" applyFill="1"/>
    <xf numFmtId="0" fontId="36" fillId="2" borderId="0" xfId="0" applyFont="1" applyFill="1"/>
    <xf numFmtId="3" fontId="37" fillId="20" borderId="0" xfId="0" applyNumberFormat="1" applyFont="1" applyFill="1" applyBorder="1" applyAlignment="1">
      <alignment horizontal="center" vertical="center"/>
    </xf>
    <xf numFmtId="3" fontId="37" fillId="20" borderId="0" xfId="0" applyNumberFormat="1" applyFont="1" applyFill="1" applyBorder="1" applyAlignment="1">
      <alignment horizontal="center" vertical="center" wrapText="1"/>
    </xf>
    <xf numFmtId="3" fontId="36" fillId="20" borderId="0" xfId="0" applyNumberFormat="1" applyFont="1" applyFill="1"/>
    <xf numFmtId="3" fontId="0" fillId="20" borderId="0" xfId="0" applyNumberFormat="1" applyFill="1"/>
    <xf numFmtId="0" fontId="35" fillId="20" borderId="0" xfId="0" applyFont="1" applyFill="1" applyAlignment="1">
      <alignment horizontal="center" vertical="center" wrapText="1"/>
    </xf>
    <xf numFmtId="0" fontId="33" fillId="20" borderId="0" xfId="9" applyFont="1" applyFill="1"/>
    <xf numFmtId="0" fontId="66" fillId="0" borderId="0" xfId="0" applyFont="1"/>
    <xf numFmtId="0" fontId="25" fillId="0" borderId="0" xfId="9" applyFont="1" applyBorder="1" applyAlignment="1">
      <alignment horizontal="center" vertical="justify"/>
    </xf>
    <xf numFmtId="0" fontId="23" fillId="0" borderId="85" xfId="9" applyFont="1" applyBorder="1" applyAlignment="1">
      <alignment horizontal="center"/>
    </xf>
    <xf numFmtId="0" fontId="23" fillId="0" borderId="110" xfId="9" applyFont="1" applyBorder="1" applyAlignment="1">
      <alignment horizontal="center"/>
    </xf>
    <xf numFmtId="49" fontId="23" fillId="0" borderId="110" xfId="9" applyNumberFormat="1" applyFont="1" applyBorder="1" applyAlignment="1">
      <alignment horizontal="center"/>
    </xf>
    <xf numFmtId="0" fontId="23" fillId="0" borderId="85" xfId="9" applyFont="1" applyBorder="1" applyAlignment="1">
      <alignment horizontal="center" vertical="center"/>
    </xf>
    <xf numFmtId="0" fontId="23" fillId="0" borderId="86" xfId="9" applyFont="1" applyBorder="1" applyAlignment="1">
      <alignment horizontal="center"/>
    </xf>
    <xf numFmtId="0" fontId="23" fillId="0" borderId="54" xfId="9" applyFont="1" applyBorder="1" applyAlignment="1">
      <alignment horizontal="center"/>
    </xf>
    <xf numFmtId="0" fontId="19" fillId="8" borderId="0" xfId="2" applyFont="1" applyFill="1" applyBorder="1" applyAlignment="1">
      <alignment horizontal="left" vertical="center" wrapText="1"/>
    </xf>
    <xf numFmtId="3" fontId="9" fillId="3" borderId="128" xfId="0" applyNumberFormat="1" applyFont="1" applyFill="1" applyBorder="1" applyAlignment="1">
      <alignment horizontal="center" vertical="center"/>
    </xf>
    <xf numFmtId="3" fontId="10" fillId="3" borderId="128" xfId="5" applyNumberFormat="1" applyFont="1" applyFill="1" applyBorder="1" applyAlignment="1">
      <alignment horizontal="center" vertical="center"/>
    </xf>
    <xf numFmtId="3" fontId="10" fillId="3" borderId="128" xfId="6" applyNumberFormat="1" applyFont="1" applyFill="1" applyBorder="1" applyAlignment="1">
      <alignment horizontal="center" vertical="center"/>
    </xf>
    <xf numFmtId="49" fontId="9" fillId="3" borderId="131" xfId="2" applyNumberFormat="1" applyFont="1" applyFill="1" applyBorder="1" applyAlignment="1">
      <alignment horizontal="center" vertical="center" wrapText="1"/>
    </xf>
    <xf numFmtId="49" fontId="9" fillId="3" borderId="129" xfId="2" applyNumberFormat="1" applyFont="1" applyFill="1" applyBorder="1" applyAlignment="1">
      <alignment horizontal="center" vertical="center" wrapText="1"/>
    </xf>
    <xf numFmtId="49" fontId="9" fillId="8" borderId="129" xfId="2" applyNumberFormat="1" applyFont="1" applyFill="1" applyBorder="1" applyAlignment="1">
      <alignment horizontal="center" vertical="center" wrapText="1"/>
    </xf>
    <xf numFmtId="49" fontId="10" fillId="3" borderId="131" xfId="2" applyNumberFormat="1" applyFont="1" applyFill="1" applyBorder="1" applyAlignment="1">
      <alignment horizontal="center" vertical="center" wrapText="1"/>
    </xf>
    <xf numFmtId="49" fontId="10" fillId="3" borderId="129" xfId="2" applyNumberFormat="1" applyFont="1" applyFill="1" applyBorder="1" applyAlignment="1">
      <alignment horizontal="center" vertical="center" wrapText="1"/>
    </xf>
    <xf numFmtId="49" fontId="10" fillId="8" borderId="129" xfId="2" applyNumberFormat="1" applyFont="1" applyFill="1" applyBorder="1" applyAlignment="1" applyProtection="1">
      <alignment horizontal="center" vertical="center" wrapText="1"/>
      <protection locked="0"/>
    </xf>
    <xf numFmtId="49" fontId="10" fillId="8" borderId="129" xfId="1" applyNumberFormat="1" applyFont="1" applyFill="1" applyBorder="1" applyAlignment="1" applyProtection="1">
      <alignment horizontal="center" vertical="center" wrapText="1"/>
      <protection locked="0"/>
    </xf>
    <xf numFmtId="49" fontId="9" fillId="8" borderId="129" xfId="1" applyNumberFormat="1" applyFont="1" applyFill="1" applyBorder="1" applyAlignment="1" applyProtection="1">
      <alignment horizontal="center" vertical="center" wrapText="1"/>
      <protection locked="0"/>
    </xf>
    <xf numFmtId="49" fontId="10" fillId="8" borderId="129" xfId="2" applyNumberFormat="1" applyFont="1" applyFill="1" applyBorder="1" applyAlignment="1">
      <alignment horizontal="center" vertical="center" wrapText="1"/>
    </xf>
    <xf numFmtId="49" fontId="10" fillId="8" borderId="123" xfId="2" applyNumberFormat="1" applyFont="1" applyFill="1" applyBorder="1" applyAlignment="1">
      <alignment horizontal="center" vertical="center" wrapText="1"/>
    </xf>
    <xf numFmtId="0" fontId="23" fillId="0" borderId="131" xfId="9" applyFont="1" applyBorder="1" applyAlignment="1">
      <alignment horizontal="center"/>
    </xf>
    <xf numFmtId="0" fontId="23" fillId="0" borderId="129" xfId="9" applyFont="1" applyBorder="1" applyAlignment="1">
      <alignment horizontal="center"/>
    </xf>
    <xf numFmtId="49" fontId="37" fillId="5" borderId="65" xfId="2" applyNumberFormat="1" applyFont="1" applyFill="1" applyBorder="1" applyAlignment="1">
      <alignment horizontal="center" vertical="center" textRotation="255" wrapText="1"/>
    </xf>
    <xf numFmtId="49" fontId="37" fillId="5" borderId="55" xfId="2" applyNumberFormat="1" applyFont="1" applyFill="1" applyBorder="1" applyAlignment="1">
      <alignment horizontal="center" vertical="center" textRotation="255" wrapText="1"/>
    </xf>
    <xf numFmtId="3" fontId="54" fillId="5" borderId="64" xfId="2" applyNumberFormat="1" applyFont="1" applyFill="1" applyBorder="1" applyAlignment="1">
      <alignment horizontal="center" vertical="center" wrapText="1"/>
    </xf>
    <xf numFmtId="0" fontId="68" fillId="2" borderId="57" xfId="0" applyFont="1" applyFill="1" applyBorder="1" applyAlignment="1">
      <alignment horizontal="center" vertical="center" wrapText="1"/>
    </xf>
    <xf numFmtId="3" fontId="56" fillId="2" borderId="45" xfId="0" applyNumberFormat="1" applyFont="1" applyFill="1" applyBorder="1" applyAlignment="1">
      <alignment horizontal="center" vertical="center" wrapText="1"/>
    </xf>
    <xf numFmtId="3" fontId="56" fillId="2" borderId="44" xfId="0" applyNumberFormat="1" applyFont="1" applyFill="1" applyBorder="1" applyAlignment="1">
      <alignment horizontal="center" vertical="center" wrapText="1"/>
    </xf>
    <xf numFmtId="0" fontId="70" fillId="0" borderId="0" xfId="0" applyFont="1"/>
    <xf numFmtId="3" fontId="37" fillId="6" borderId="128" xfId="0" applyNumberFormat="1" applyFont="1" applyFill="1" applyBorder="1" applyAlignment="1" applyProtection="1">
      <alignment horizontal="center" vertical="center" wrapText="1"/>
      <protection locked="0"/>
    </xf>
    <xf numFmtId="3" fontId="37" fillId="6" borderId="129" xfId="0" applyNumberFormat="1" applyFont="1" applyFill="1" applyBorder="1" applyAlignment="1" applyProtection="1">
      <alignment horizontal="center" vertical="center" wrapText="1"/>
      <protection locked="0"/>
    </xf>
    <xf numFmtId="3" fontId="37" fillId="6" borderId="130" xfId="0" applyNumberFormat="1" applyFont="1" applyFill="1" applyBorder="1" applyAlignment="1" applyProtection="1">
      <alignment horizontal="center" vertical="center" wrapText="1"/>
      <protection locked="0"/>
    </xf>
    <xf numFmtId="3" fontId="37" fillId="2" borderId="107" xfId="0" applyNumberFormat="1" applyFont="1" applyFill="1" applyBorder="1" applyAlignment="1">
      <alignment horizontal="center" vertical="center"/>
    </xf>
    <xf numFmtId="3" fontId="54" fillId="5" borderId="128" xfId="2" applyNumberFormat="1" applyFont="1" applyFill="1" applyBorder="1" applyAlignment="1">
      <alignment horizontal="center" vertical="center" wrapText="1"/>
    </xf>
    <xf numFmtId="3" fontId="54" fillId="5" borderId="129" xfId="2" applyNumberFormat="1" applyFont="1" applyFill="1" applyBorder="1" applyAlignment="1">
      <alignment horizontal="center" vertical="center" wrapText="1"/>
    </xf>
    <xf numFmtId="3" fontId="54" fillId="5" borderId="130" xfId="2" applyNumberFormat="1" applyFont="1" applyFill="1" applyBorder="1" applyAlignment="1">
      <alignment horizontal="center" vertical="center" wrapText="1"/>
    </xf>
    <xf numFmtId="3" fontId="54" fillId="5" borderId="107" xfId="2" applyNumberFormat="1" applyFont="1" applyFill="1" applyBorder="1" applyAlignment="1">
      <alignment horizontal="center" vertical="center" wrapText="1"/>
    </xf>
    <xf numFmtId="0" fontId="37" fillId="5" borderId="132" xfId="2" applyFont="1" applyFill="1" applyBorder="1" applyAlignment="1">
      <alignment horizontal="left" vertical="center" wrapText="1"/>
    </xf>
    <xf numFmtId="49" fontId="37" fillId="8" borderId="65" xfId="2" applyNumberFormat="1" applyFont="1" applyFill="1" applyBorder="1" applyAlignment="1">
      <alignment horizontal="center" vertical="center" wrapText="1"/>
    </xf>
    <xf numFmtId="49" fontId="37" fillId="8" borderId="55" xfId="2" applyNumberFormat="1" applyFont="1" applyFill="1" applyBorder="1" applyAlignment="1">
      <alignment horizontal="center" vertical="center" wrapText="1"/>
    </xf>
    <xf numFmtId="49" fontId="37" fillId="8" borderId="55" xfId="2" applyNumberFormat="1" applyFont="1" applyFill="1" applyBorder="1" applyAlignment="1" applyProtection="1">
      <alignment horizontal="center" vertical="center" wrapText="1"/>
      <protection locked="0"/>
    </xf>
    <xf numFmtId="49" fontId="54" fillId="8" borderId="65" xfId="2" applyNumberFormat="1" applyFont="1" applyFill="1" applyBorder="1" applyAlignment="1">
      <alignment horizontal="center" vertical="center" wrapText="1"/>
    </xf>
    <xf numFmtId="49" fontId="54" fillId="8" borderId="55" xfId="2" applyNumberFormat="1" applyFont="1" applyFill="1" applyBorder="1" applyAlignment="1">
      <alignment horizontal="center" vertical="center" wrapText="1"/>
    </xf>
    <xf numFmtId="49" fontId="54" fillId="8" borderId="55" xfId="2" applyNumberFormat="1" applyFont="1" applyFill="1" applyBorder="1" applyAlignment="1" applyProtection="1">
      <alignment horizontal="center" vertical="center" wrapText="1"/>
      <protection locked="0"/>
    </xf>
    <xf numFmtId="0" fontId="37" fillId="3" borderId="55" xfId="0" applyFont="1" applyFill="1" applyBorder="1" applyAlignment="1">
      <alignment horizontal="center" vertical="center"/>
    </xf>
    <xf numFmtId="0" fontId="37" fillId="8" borderId="132" xfId="2" applyFont="1" applyFill="1" applyBorder="1" applyAlignment="1" applyProtection="1">
      <alignment horizontal="left" vertical="center" wrapText="1"/>
      <protection locked="0"/>
    </xf>
    <xf numFmtId="49" fontId="56" fillId="8" borderId="129" xfId="2" applyNumberFormat="1" applyFont="1" applyFill="1" applyBorder="1" applyAlignment="1">
      <alignment horizontal="center" vertical="center" wrapText="1"/>
    </xf>
    <xf numFmtId="3" fontId="37" fillId="3" borderId="119" xfId="0" applyNumberFormat="1" applyFont="1" applyFill="1" applyBorder="1" applyAlignment="1">
      <alignment horizontal="center" vertical="center"/>
    </xf>
    <xf numFmtId="49" fontId="37" fillId="5" borderId="65" xfId="2" applyNumberFormat="1" applyFont="1" applyFill="1" applyBorder="1" applyAlignment="1">
      <alignment horizontal="center" vertical="center" wrapText="1"/>
    </xf>
    <xf numFmtId="49" fontId="37" fillId="5" borderId="55" xfId="2" applyNumberFormat="1" applyFont="1" applyFill="1" applyBorder="1" applyAlignment="1">
      <alignment horizontal="center" vertical="center" wrapText="1"/>
    </xf>
    <xf numFmtId="3" fontId="37" fillId="2" borderId="128" xfId="10" applyNumberFormat="1" applyFont="1" applyFill="1" applyBorder="1" applyAlignment="1">
      <alignment horizontal="center" vertical="center"/>
    </xf>
    <xf numFmtId="3" fontId="37" fillId="2" borderId="129" xfId="10" applyNumberFormat="1" applyFont="1" applyFill="1" applyBorder="1" applyAlignment="1">
      <alignment horizontal="center" vertical="center"/>
    </xf>
    <xf numFmtId="3" fontId="37" fillId="2" borderId="130" xfId="10" applyNumberFormat="1" applyFont="1" applyFill="1" applyBorder="1" applyAlignment="1">
      <alignment horizontal="center" vertical="center"/>
    </xf>
    <xf numFmtId="3" fontId="37" fillId="2" borderId="109" xfId="10" applyNumberFormat="1" applyFont="1" applyFill="1" applyBorder="1" applyAlignment="1">
      <alignment horizontal="center" vertical="center"/>
    </xf>
    <xf numFmtId="3" fontId="37" fillId="5" borderId="61" xfId="2" applyNumberFormat="1" applyFont="1" applyFill="1" applyBorder="1" applyAlignment="1">
      <alignment horizontal="center" vertical="center" wrapText="1"/>
    </xf>
    <xf numFmtId="3" fontId="37" fillId="3" borderId="128" xfId="10" applyNumberFormat="1" applyFont="1" applyFill="1" applyBorder="1" applyAlignment="1">
      <alignment horizontal="center" vertical="center"/>
    </xf>
    <xf numFmtId="3" fontId="37" fillId="3" borderId="129" xfId="10" applyNumberFormat="1" applyFont="1" applyFill="1" applyBorder="1" applyAlignment="1">
      <alignment horizontal="center" vertical="center"/>
    </xf>
    <xf numFmtId="3" fontId="37" fillId="3" borderId="130" xfId="10" applyNumberFormat="1" applyFont="1" applyFill="1" applyBorder="1" applyAlignment="1">
      <alignment horizontal="center" vertical="center"/>
    </xf>
    <xf numFmtId="3" fontId="37" fillId="3" borderId="109" xfId="10" applyNumberFormat="1" applyFont="1" applyFill="1" applyBorder="1" applyAlignment="1">
      <alignment horizontal="center" vertical="center"/>
    </xf>
    <xf numFmtId="3" fontId="37" fillId="3" borderId="61" xfId="10" applyNumberFormat="1" applyFont="1" applyFill="1" applyBorder="1" applyAlignment="1">
      <alignment horizontal="center" vertical="center"/>
    </xf>
    <xf numFmtId="3" fontId="54" fillId="3" borderId="130" xfId="10" applyNumberFormat="1" applyFont="1" applyFill="1" applyBorder="1" applyAlignment="1">
      <alignment horizontal="center" vertical="center"/>
    </xf>
    <xf numFmtId="3" fontId="54" fillId="3" borderId="109" xfId="10" applyNumberFormat="1" applyFont="1" applyFill="1" applyBorder="1" applyAlignment="1">
      <alignment horizontal="center" vertical="center"/>
    </xf>
    <xf numFmtId="3" fontId="54" fillId="3" borderId="128" xfId="10" applyNumberFormat="1" applyFont="1" applyFill="1" applyBorder="1" applyAlignment="1">
      <alignment horizontal="center" vertical="center"/>
    </xf>
    <xf numFmtId="3" fontId="54" fillId="3" borderId="129" xfId="10" applyNumberFormat="1" applyFont="1" applyFill="1" applyBorder="1" applyAlignment="1">
      <alignment horizontal="center" vertical="center"/>
    </xf>
    <xf numFmtId="49" fontId="54" fillId="8" borderId="16" xfId="2" applyNumberFormat="1" applyFont="1" applyFill="1" applyBorder="1" applyAlignment="1">
      <alignment horizontal="center" vertical="center" wrapText="1"/>
    </xf>
    <xf numFmtId="49" fontId="54" fillId="8" borderId="54" xfId="2" applyNumberFormat="1" applyFont="1" applyFill="1" applyBorder="1" applyAlignment="1">
      <alignment horizontal="center" vertical="center" wrapText="1"/>
    </xf>
    <xf numFmtId="3" fontId="54" fillId="3" borderId="118" xfId="10" applyNumberFormat="1" applyFont="1" applyFill="1" applyBorder="1" applyAlignment="1">
      <alignment horizontal="center" vertical="center"/>
    </xf>
    <xf numFmtId="3" fontId="54" fillId="3" borderId="123" xfId="10" applyNumberFormat="1" applyFont="1" applyFill="1" applyBorder="1" applyAlignment="1">
      <alignment horizontal="center" vertical="center"/>
    </xf>
    <xf numFmtId="3" fontId="54" fillId="3" borderId="119" xfId="10" applyNumberFormat="1" applyFont="1" applyFill="1" applyBorder="1" applyAlignment="1">
      <alignment horizontal="center" vertical="center"/>
    </xf>
    <xf numFmtId="3" fontId="54" fillId="3" borderId="120" xfId="10" applyNumberFormat="1" applyFont="1" applyFill="1" applyBorder="1" applyAlignment="1">
      <alignment horizontal="center" vertical="center"/>
    </xf>
    <xf numFmtId="0" fontId="54" fillId="3" borderId="59" xfId="0" applyFont="1" applyFill="1" applyBorder="1" applyAlignment="1">
      <alignment horizontal="center" vertical="center"/>
    </xf>
    <xf numFmtId="0" fontId="10" fillId="8" borderId="152" xfId="2" applyFont="1" applyFill="1" applyBorder="1" applyAlignment="1">
      <alignment horizontal="left" vertical="center" wrapText="1"/>
    </xf>
    <xf numFmtId="0" fontId="9" fillId="8" borderId="152" xfId="2" applyFont="1" applyFill="1" applyBorder="1" applyAlignment="1">
      <alignment horizontal="left" vertical="center" wrapText="1"/>
    </xf>
    <xf numFmtId="0" fontId="10" fillId="8" borderId="152" xfId="2" applyFont="1" applyFill="1" applyBorder="1" applyAlignment="1" applyProtection="1">
      <alignment horizontal="left" vertical="center" wrapText="1"/>
      <protection locked="0"/>
    </xf>
    <xf numFmtId="3" fontId="9" fillId="3" borderId="151" xfId="0" applyNumberFormat="1" applyFont="1" applyFill="1" applyBorder="1" applyAlignment="1">
      <alignment horizontal="center" vertical="center"/>
    </xf>
    <xf numFmtId="3" fontId="9" fillId="8" borderId="151" xfId="5" applyNumberFormat="1" applyFont="1" applyFill="1" applyBorder="1" applyAlignment="1">
      <alignment horizontal="center" vertical="center"/>
    </xf>
    <xf numFmtId="3" fontId="10" fillId="3" borderId="151" xfId="0" applyNumberFormat="1" applyFont="1" applyFill="1" applyBorder="1" applyAlignment="1">
      <alignment horizontal="center" vertical="center"/>
    </xf>
    <xf numFmtId="3" fontId="74" fillId="0" borderId="0" xfId="9" applyNumberFormat="1" applyFont="1"/>
    <xf numFmtId="0" fontId="74" fillId="0" borderId="0" xfId="9" applyFont="1"/>
    <xf numFmtId="4" fontId="4" fillId="0" borderId="0" xfId="0" applyNumberFormat="1" applyFont="1"/>
    <xf numFmtId="3" fontId="4" fillId="0" borderId="0" xfId="0" applyNumberFormat="1" applyFont="1"/>
    <xf numFmtId="3" fontId="10" fillId="3" borderId="128" xfId="0" applyNumberFormat="1" applyFont="1" applyFill="1" applyBorder="1" applyAlignment="1">
      <alignment horizontal="center" vertical="center"/>
    </xf>
    <xf numFmtId="3" fontId="37" fillId="3" borderId="0" xfId="0" applyNumberFormat="1" applyFont="1" applyFill="1" applyBorder="1" applyAlignment="1">
      <alignment horizontal="center" vertical="center"/>
    </xf>
    <xf numFmtId="3" fontId="10" fillId="3" borderId="153" xfId="0" applyNumberFormat="1" applyFont="1" applyFill="1" applyBorder="1" applyAlignment="1">
      <alignment horizontal="center" vertical="center"/>
    </xf>
    <xf numFmtId="3" fontId="0" fillId="2" borderId="0" xfId="0" applyNumberFormat="1" applyFill="1"/>
    <xf numFmtId="49" fontId="54" fillId="8" borderId="131" xfId="2" applyNumberFormat="1" applyFont="1" applyFill="1" applyBorder="1" applyAlignment="1">
      <alignment horizontal="center" vertical="center" wrapText="1"/>
    </xf>
    <xf numFmtId="49" fontId="54" fillId="8" borderId="151" xfId="2" applyNumberFormat="1" applyFont="1" applyFill="1" applyBorder="1" applyAlignment="1">
      <alignment horizontal="center" vertical="center" wrapText="1"/>
    </xf>
    <xf numFmtId="49" fontId="37" fillId="8" borderId="151" xfId="2" applyNumberFormat="1" applyFont="1" applyFill="1" applyBorder="1" applyAlignment="1" applyProtection="1">
      <alignment horizontal="center" vertical="center" wrapText="1"/>
      <protection locked="0"/>
    </xf>
    <xf numFmtId="3" fontId="37" fillId="3" borderId="153" xfId="0" applyNumberFormat="1" applyFont="1" applyFill="1" applyBorder="1" applyAlignment="1">
      <alignment horizontal="center" vertical="center"/>
    </xf>
    <xf numFmtId="49" fontId="10" fillId="8" borderId="151" xfId="2" applyNumberFormat="1" applyFont="1" applyFill="1" applyBorder="1" applyAlignment="1">
      <alignment horizontal="center" vertical="center" wrapText="1"/>
    </xf>
    <xf numFmtId="49" fontId="9" fillId="3" borderId="151" xfId="2" applyNumberFormat="1" applyFont="1" applyFill="1" applyBorder="1" applyAlignment="1">
      <alignment horizontal="center" vertical="center" wrapText="1"/>
    </xf>
    <xf numFmtId="49" fontId="9" fillId="8" borderId="151" xfId="2" applyNumberFormat="1" applyFont="1" applyFill="1" applyBorder="1" applyAlignment="1">
      <alignment horizontal="center" vertical="center" wrapText="1"/>
    </xf>
    <xf numFmtId="3" fontId="9" fillId="3" borderId="153" xfId="0" applyNumberFormat="1" applyFont="1" applyFill="1" applyBorder="1" applyAlignment="1">
      <alignment horizontal="center" vertical="center"/>
    </xf>
    <xf numFmtId="3" fontId="9" fillId="3" borderId="171" xfId="0" applyNumberFormat="1" applyFont="1" applyFill="1" applyBorder="1" applyAlignment="1">
      <alignment horizontal="center" vertical="center"/>
    </xf>
    <xf numFmtId="0" fontId="41" fillId="3" borderId="0" xfId="0" applyFont="1" applyFill="1"/>
    <xf numFmtId="3" fontId="56" fillId="2" borderId="5" xfId="0" applyNumberFormat="1" applyFont="1" applyFill="1" applyBorder="1" applyAlignment="1">
      <alignment horizontal="center" vertical="center" wrapText="1"/>
    </xf>
    <xf numFmtId="0" fontId="33" fillId="0" borderId="0" xfId="0" applyFont="1" applyFill="1"/>
    <xf numFmtId="3" fontId="54" fillId="3" borderId="61" xfId="10" applyNumberFormat="1" applyFont="1" applyFill="1" applyBorder="1" applyAlignment="1">
      <alignment horizontal="center" vertical="center"/>
    </xf>
    <xf numFmtId="0" fontId="77" fillId="0" borderId="0" xfId="0" applyFont="1" applyFill="1"/>
    <xf numFmtId="0" fontId="78" fillId="0" borderId="0" xfId="0" applyFont="1" applyFill="1"/>
    <xf numFmtId="3" fontId="77" fillId="2" borderId="0" xfId="0" applyNumberFormat="1" applyFont="1" applyFill="1"/>
    <xf numFmtId="0" fontId="77" fillId="0" borderId="0" xfId="0" applyFont="1"/>
    <xf numFmtId="3" fontId="77" fillId="12" borderId="0" xfId="0" applyNumberFormat="1" applyFont="1" applyFill="1"/>
    <xf numFmtId="3" fontId="0" fillId="12" borderId="0" xfId="0" applyNumberFormat="1" applyFill="1"/>
    <xf numFmtId="3" fontId="77" fillId="0" borderId="0" xfId="0" applyNumberFormat="1" applyFont="1"/>
    <xf numFmtId="0" fontId="79" fillId="0" borderId="0" xfId="0" applyFont="1"/>
    <xf numFmtId="3" fontId="79" fillId="0" borderId="0" xfId="0" applyNumberFormat="1" applyFont="1"/>
    <xf numFmtId="3" fontId="39" fillId="5" borderId="0" xfId="2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 wrapText="1"/>
    </xf>
    <xf numFmtId="3" fontId="39" fillId="9" borderId="0" xfId="2" applyNumberFormat="1" applyFont="1" applyFill="1" applyBorder="1" applyAlignment="1">
      <alignment horizontal="center" vertical="center" wrapText="1"/>
    </xf>
    <xf numFmtId="3" fontId="9" fillId="9" borderId="0" xfId="2" applyNumberFormat="1" applyFont="1" applyFill="1" applyBorder="1" applyAlignment="1">
      <alignment horizontal="center" vertical="center" wrapText="1"/>
    </xf>
    <xf numFmtId="3" fontId="80" fillId="12" borderId="0" xfId="0" applyNumberFormat="1" applyFont="1" applyFill="1" applyBorder="1" applyAlignment="1">
      <alignment horizontal="center" vertical="center"/>
    </xf>
    <xf numFmtId="4" fontId="65" fillId="12" borderId="0" xfId="0" applyNumberFormat="1" applyFont="1" applyFill="1"/>
    <xf numFmtId="0" fontId="0" fillId="0" borderId="0" xfId="0" applyAlignment="1">
      <alignment wrapText="1"/>
    </xf>
    <xf numFmtId="3" fontId="41" fillId="0" borderId="0" xfId="0" applyNumberFormat="1" applyFont="1"/>
    <xf numFmtId="3" fontId="64" fillId="0" borderId="0" xfId="0" applyNumberFormat="1" applyFont="1"/>
    <xf numFmtId="3" fontId="81" fillId="0" borderId="0" xfId="0" applyNumberFormat="1" applyFont="1"/>
    <xf numFmtId="3" fontId="82" fillId="0" borderId="0" xfId="0" applyNumberFormat="1" applyFont="1"/>
    <xf numFmtId="3" fontId="81" fillId="12" borderId="0" xfId="0" applyNumberFormat="1" applyFont="1" applyFill="1"/>
    <xf numFmtId="3" fontId="12" fillId="12" borderId="0" xfId="0" applyNumberFormat="1" applyFont="1" applyFill="1" applyBorder="1" applyAlignment="1">
      <alignment horizontal="center" vertical="center"/>
    </xf>
    <xf numFmtId="3" fontId="39" fillId="0" borderId="0" xfId="2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3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Border="1"/>
    <xf numFmtId="5" fontId="4" fillId="0" borderId="0" xfId="0" applyNumberFormat="1" applyFont="1"/>
    <xf numFmtId="0" fontId="23" fillId="0" borderId="131" xfId="0" applyFont="1" applyBorder="1"/>
    <xf numFmtId="0" fontId="25" fillId="0" borderId="0" xfId="0" applyFont="1" applyBorder="1"/>
    <xf numFmtId="0" fontId="25" fillId="0" borderId="0" xfId="0" applyFont="1"/>
    <xf numFmtId="0" fontId="25" fillId="0" borderId="7" xfId="0" applyFont="1" applyBorder="1"/>
    <xf numFmtId="0" fontId="32" fillId="0" borderId="0" xfId="0" applyFont="1" applyBorder="1" applyAlignment="1">
      <alignment vertical="center" wrapText="1"/>
    </xf>
    <xf numFmtId="0" fontId="23" fillId="0" borderId="0" xfId="0" applyFont="1" applyAlignment="1">
      <alignment wrapText="1"/>
    </xf>
    <xf numFmtId="0" fontId="23" fillId="0" borderId="86" xfId="0" applyFont="1" applyBorder="1" applyAlignment="1">
      <alignment wrapText="1"/>
    </xf>
    <xf numFmtId="0" fontId="23" fillId="0" borderId="88" xfId="0" applyFont="1" applyFill="1" applyBorder="1" applyAlignment="1">
      <alignment wrapText="1"/>
    </xf>
    <xf numFmtId="0" fontId="25" fillId="0" borderId="151" xfId="0" applyFont="1" applyBorder="1"/>
    <xf numFmtId="4" fontId="23" fillId="0" borderId="0" xfId="0" applyNumberFormat="1" applyFont="1"/>
    <xf numFmtId="0" fontId="31" fillId="0" borderId="7" xfId="0" applyFont="1" applyFill="1" applyBorder="1" applyAlignment="1">
      <alignment vertical="center" wrapText="1"/>
    </xf>
    <xf numFmtId="0" fontId="31" fillId="0" borderId="131" xfId="0" applyFont="1" applyFill="1" applyBorder="1" applyAlignment="1">
      <alignment vertical="center" wrapText="1"/>
    </xf>
    <xf numFmtId="3" fontId="24" fillId="3" borderId="120" xfId="0" applyNumberFormat="1" applyFont="1" applyFill="1" applyBorder="1" applyAlignment="1">
      <alignment horizontal="center" vertical="center" wrapText="1"/>
    </xf>
    <xf numFmtId="3" fontId="10" fillId="12" borderId="151" xfId="0" applyNumberFormat="1" applyFont="1" applyFill="1" applyBorder="1" applyAlignment="1">
      <alignment horizontal="center" vertical="center"/>
    </xf>
    <xf numFmtId="3" fontId="10" fillId="25" borderId="151" xfId="0" applyNumberFormat="1" applyFont="1" applyFill="1" applyBorder="1" applyAlignment="1">
      <alignment horizontal="center" vertical="center"/>
    </xf>
    <xf numFmtId="3" fontId="56" fillId="2" borderId="153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0" fillId="0" borderId="120" xfId="0" applyBorder="1"/>
    <xf numFmtId="3" fontId="37" fillId="3" borderId="2" xfId="0" applyNumberFormat="1" applyFont="1" applyFill="1" applyBorder="1" applyAlignment="1">
      <alignment horizontal="center" vertical="center"/>
    </xf>
    <xf numFmtId="3" fontId="56" fillId="2" borderId="128" xfId="0" applyNumberFormat="1" applyFont="1" applyFill="1" applyBorder="1" applyAlignment="1">
      <alignment horizontal="center" vertical="center" wrapText="1"/>
    </xf>
    <xf numFmtId="49" fontId="9" fillId="8" borderId="151" xfId="2" applyNumberFormat="1" applyFont="1" applyFill="1" applyBorder="1" applyAlignment="1" applyProtection="1">
      <alignment horizontal="center" vertical="center" wrapText="1"/>
      <protection locked="0"/>
    </xf>
    <xf numFmtId="3" fontId="9" fillId="0" borderId="171" xfId="0" applyNumberFormat="1" applyFont="1" applyBorder="1" applyAlignment="1">
      <alignment horizontal="center" vertical="center"/>
    </xf>
    <xf numFmtId="3" fontId="33" fillId="0" borderId="0" xfId="0" applyNumberFormat="1" applyFont="1"/>
    <xf numFmtId="0" fontId="33" fillId="0" borderId="0" xfId="0" applyFont="1" applyBorder="1"/>
    <xf numFmtId="0" fontId="23" fillId="0" borderId="0" xfId="0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23" fillId="0" borderId="8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4" fontId="23" fillId="0" borderId="49" xfId="0" applyNumberFormat="1" applyFont="1" applyFill="1" applyBorder="1" applyAlignment="1">
      <alignment horizontal="center" vertical="center"/>
    </xf>
    <xf numFmtId="4" fontId="23" fillId="0" borderId="151" xfId="0" applyNumberFormat="1" applyFont="1" applyFill="1" applyBorder="1" applyAlignment="1">
      <alignment horizontal="center" vertical="center"/>
    </xf>
    <xf numFmtId="4" fontId="23" fillId="0" borderId="158" xfId="0" applyNumberFormat="1" applyFont="1" applyFill="1" applyBorder="1" applyAlignment="1">
      <alignment horizontal="center" vertical="center"/>
    </xf>
    <xf numFmtId="4" fontId="25" fillId="0" borderId="151" xfId="0" applyNumberFormat="1" applyFont="1" applyFill="1" applyBorder="1" applyAlignment="1">
      <alignment horizontal="center" vertical="center"/>
    </xf>
    <xf numFmtId="0" fontId="24" fillId="0" borderId="0" xfId="0" applyFont="1"/>
    <xf numFmtId="49" fontId="24" fillId="20" borderId="66" xfId="2" applyNumberFormat="1" applyFont="1" applyFill="1" applyBorder="1" applyAlignment="1">
      <alignment horizontal="center" vertical="center" wrapText="1"/>
    </xf>
    <xf numFmtId="49" fontId="24" fillId="21" borderId="60" xfId="3" applyNumberFormat="1" applyFont="1" applyFill="1" applyBorder="1" applyAlignment="1">
      <alignment horizontal="center" vertical="center" wrapText="1"/>
    </xf>
    <xf numFmtId="0" fontId="19" fillId="21" borderId="25" xfId="1" applyFont="1" applyFill="1" applyBorder="1" applyAlignment="1" applyProtection="1">
      <alignment horizontal="left" vertical="center" wrapText="1"/>
      <protection locked="0"/>
    </xf>
    <xf numFmtId="0" fontId="25" fillId="2" borderId="0" xfId="0" applyFont="1" applyFill="1" applyBorder="1" applyAlignment="1">
      <alignment horizontal="center" vertical="center" wrapText="1"/>
    </xf>
    <xf numFmtId="3" fontId="19" fillId="20" borderId="0" xfId="0" applyNumberFormat="1" applyFont="1" applyFill="1" applyBorder="1" applyAlignment="1">
      <alignment horizontal="center" vertical="center" wrapText="1"/>
    </xf>
    <xf numFmtId="3" fontId="19" fillId="20" borderId="0" xfId="0" applyNumberFormat="1" applyFont="1" applyFill="1" applyBorder="1" applyAlignment="1">
      <alignment horizontal="center" vertical="center"/>
    </xf>
    <xf numFmtId="3" fontId="23" fillId="3" borderId="0" xfId="0" applyNumberFormat="1" applyFont="1" applyFill="1" applyBorder="1"/>
    <xf numFmtId="0" fontId="19" fillId="20" borderId="152" xfId="1" applyFont="1" applyFill="1" applyBorder="1" applyAlignment="1" applyProtection="1">
      <alignment horizontal="left" vertical="center" wrapText="1"/>
      <protection locked="0"/>
    </xf>
    <xf numFmtId="0" fontId="24" fillId="4" borderId="152" xfId="1" applyFont="1" applyFill="1" applyBorder="1" applyAlignment="1" applyProtection="1">
      <alignment horizontal="left" vertical="center" wrapText="1"/>
      <protection locked="0"/>
    </xf>
    <xf numFmtId="0" fontId="24" fillId="4" borderId="124" xfId="1" applyFont="1" applyFill="1" applyBorder="1" applyAlignment="1" applyProtection="1">
      <alignment horizontal="left" vertical="center" wrapText="1"/>
      <protection locked="0"/>
    </xf>
    <xf numFmtId="3" fontId="19" fillId="20" borderId="47" xfId="0" applyNumberFormat="1" applyFont="1" applyFill="1" applyBorder="1" applyAlignment="1">
      <alignment horizontal="center" vertical="center" wrapText="1"/>
    </xf>
    <xf numFmtId="3" fontId="19" fillId="20" borderId="171" xfId="0" applyNumberFormat="1" applyFont="1" applyFill="1" applyBorder="1" applyAlignment="1">
      <alignment horizontal="center" vertical="center" wrapText="1"/>
    </xf>
    <xf numFmtId="3" fontId="24" fillId="3" borderId="171" xfId="0" applyNumberFormat="1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3" fontId="19" fillId="20" borderId="173" xfId="0" applyNumberFormat="1" applyFont="1" applyFill="1" applyBorder="1" applyAlignment="1">
      <alignment horizontal="center" vertical="center" wrapText="1"/>
    </xf>
    <xf numFmtId="3" fontId="19" fillId="20" borderId="173" xfId="0" applyNumberFormat="1" applyFont="1" applyFill="1" applyBorder="1" applyAlignment="1">
      <alignment horizontal="center" vertical="center"/>
    </xf>
    <xf numFmtId="3" fontId="23" fillId="3" borderId="173" xfId="0" applyNumberFormat="1" applyFont="1" applyFill="1" applyBorder="1"/>
    <xf numFmtId="3" fontId="23" fillId="3" borderId="149" xfId="0" applyNumberFormat="1" applyFont="1" applyFill="1" applyBorder="1"/>
    <xf numFmtId="0" fontId="19" fillId="3" borderId="165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wrapText="1"/>
    </xf>
    <xf numFmtId="3" fontId="19" fillId="20" borderId="128" xfId="0" applyNumberFormat="1" applyFont="1" applyFill="1" applyBorder="1" applyAlignment="1">
      <alignment horizontal="center" vertical="center" wrapText="1"/>
    </xf>
    <xf numFmtId="3" fontId="19" fillId="20" borderId="153" xfId="0" applyNumberFormat="1" applyFont="1" applyFill="1" applyBorder="1" applyAlignment="1">
      <alignment horizontal="center" vertical="center" wrapText="1"/>
    </xf>
    <xf numFmtId="3" fontId="19" fillId="20" borderId="128" xfId="0" applyNumberFormat="1" applyFont="1" applyFill="1" applyBorder="1" applyAlignment="1">
      <alignment horizontal="center" vertical="center"/>
    </xf>
    <xf numFmtId="3" fontId="19" fillId="20" borderId="153" xfId="0" applyNumberFormat="1" applyFont="1" applyFill="1" applyBorder="1" applyAlignment="1">
      <alignment horizontal="center" vertical="center"/>
    </xf>
    <xf numFmtId="3" fontId="24" fillId="3" borderId="128" xfId="0" applyNumberFormat="1" applyFont="1" applyFill="1" applyBorder="1" applyAlignment="1">
      <alignment horizontal="center" vertical="center"/>
    </xf>
    <xf numFmtId="3" fontId="24" fillId="3" borderId="153" xfId="0" applyNumberFormat="1" applyFont="1" applyFill="1" applyBorder="1" applyAlignment="1">
      <alignment horizontal="center" vertical="center"/>
    </xf>
    <xf numFmtId="3" fontId="24" fillId="0" borderId="128" xfId="0" applyNumberFormat="1" applyFont="1" applyBorder="1" applyAlignment="1">
      <alignment horizontal="center" vertical="center"/>
    </xf>
    <xf numFmtId="3" fontId="24" fillId="0" borderId="153" xfId="0" applyNumberFormat="1" applyFont="1" applyBorder="1" applyAlignment="1">
      <alignment horizontal="center" vertical="center"/>
    </xf>
    <xf numFmtId="3" fontId="24" fillId="0" borderId="128" xfId="0" applyNumberFormat="1" applyFont="1" applyFill="1" applyBorder="1" applyAlignment="1">
      <alignment horizontal="center" vertical="center"/>
    </xf>
    <xf numFmtId="3" fontId="24" fillId="0" borderId="153" xfId="0" applyNumberFormat="1" applyFont="1" applyFill="1" applyBorder="1" applyAlignment="1">
      <alignment horizontal="center" vertical="center"/>
    </xf>
    <xf numFmtId="3" fontId="24" fillId="4" borderId="128" xfId="0" applyNumberFormat="1" applyFont="1" applyFill="1" applyBorder="1" applyAlignment="1">
      <alignment horizontal="center" vertical="center" wrapText="1"/>
    </xf>
    <xf numFmtId="3" fontId="24" fillId="4" borderId="153" xfId="0" applyNumberFormat="1" applyFont="1" applyFill="1" applyBorder="1" applyAlignment="1">
      <alignment horizontal="center" vertical="center" wrapText="1"/>
    </xf>
    <xf numFmtId="3" fontId="24" fillId="3" borderId="118" xfId="0" applyNumberFormat="1" applyFont="1" applyFill="1" applyBorder="1" applyAlignment="1">
      <alignment horizontal="center" vertical="center"/>
    </xf>
    <xf numFmtId="3" fontId="24" fillId="3" borderId="119" xfId="0" applyNumberFormat="1" applyFont="1" applyFill="1" applyBorder="1" applyAlignment="1">
      <alignment horizontal="center" vertical="center"/>
    </xf>
    <xf numFmtId="0" fontId="25" fillId="2" borderId="45" xfId="0" applyFont="1" applyFill="1" applyBorder="1" applyAlignment="1">
      <alignment horizontal="center" vertical="center" wrapText="1"/>
    </xf>
    <xf numFmtId="3" fontId="24" fillId="3" borderId="128" xfId="0" applyNumberFormat="1" applyFont="1" applyFill="1" applyBorder="1" applyAlignment="1">
      <alignment horizontal="center" vertical="center" wrapText="1"/>
    </xf>
    <xf numFmtId="3" fontId="24" fillId="3" borderId="153" xfId="0" applyNumberFormat="1" applyFont="1" applyFill="1" applyBorder="1" applyAlignment="1">
      <alignment horizontal="center" vertical="center" wrapText="1"/>
    </xf>
    <xf numFmtId="3" fontId="24" fillId="3" borderId="118" xfId="0" applyNumberFormat="1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textRotation="255" wrapText="1"/>
    </xf>
    <xf numFmtId="49" fontId="19" fillId="20" borderId="131" xfId="2" applyNumberFormat="1" applyFont="1" applyFill="1" applyBorder="1" applyAlignment="1">
      <alignment horizontal="center" vertical="center" wrapText="1"/>
    </xf>
    <xf numFmtId="49" fontId="24" fillId="21" borderId="151" xfId="3" applyNumberFormat="1" applyFont="1" applyFill="1" applyBorder="1" applyAlignment="1">
      <alignment horizontal="center" vertical="center" wrapText="1"/>
    </xf>
    <xf numFmtId="49" fontId="24" fillId="4" borderId="131" xfId="2" applyNumberFormat="1" applyFont="1" applyFill="1" applyBorder="1" applyAlignment="1">
      <alignment horizontal="center" vertical="center" wrapText="1"/>
    </xf>
    <xf numFmtId="49" fontId="24" fillId="7" borderId="151" xfId="3" applyNumberFormat="1" applyFont="1" applyFill="1" applyBorder="1" applyAlignment="1">
      <alignment horizontal="center" vertical="center" wrapText="1"/>
    </xf>
    <xf numFmtId="49" fontId="24" fillId="4" borderId="151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151" xfId="1" applyNumberFormat="1" applyFont="1" applyFill="1" applyBorder="1" applyAlignment="1">
      <alignment horizontal="center" vertical="center" wrapText="1"/>
    </xf>
    <xf numFmtId="49" fontId="24" fillId="0" borderId="131" xfId="2" applyNumberFormat="1" applyFont="1" applyBorder="1" applyAlignment="1">
      <alignment horizontal="center" vertical="center" wrapText="1"/>
    </xf>
    <xf numFmtId="49" fontId="19" fillId="20" borderId="151" xfId="1" applyNumberFormat="1" applyFont="1" applyFill="1" applyBorder="1" applyAlignment="1" applyProtection="1">
      <alignment horizontal="center" vertical="center" wrapText="1"/>
      <protection locked="0"/>
    </xf>
    <xf numFmtId="49" fontId="24" fillId="20" borderId="151" xfId="1" applyNumberFormat="1" applyFont="1" applyFill="1" applyBorder="1" applyAlignment="1" applyProtection="1">
      <alignment horizontal="center" vertical="center" wrapText="1"/>
      <protection locked="0"/>
    </xf>
    <xf numFmtId="49" fontId="19" fillId="20" borderId="151" xfId="1" applyNumberFormat="1" applyFont="1" applyFill="1" applyBorder="1" applyAlignment="1">
      <alignment horizontal="center" vertical="center" wrapText="1"/>
    </xf>
    <xf numFmtId="49" fontId="24" fillId="0" borderId="135" xfId="2" applyNumberFormat="1" applyFont="1" applyBorder="1" applyAlignment="1">
      <alignment horizontal="center" vertical="center" wrapText="1"/>
    </xf>
    <xf numFmtId="49" fontId="24" fillId="4" borderId="123" xfId="1" applyNumberFormat="1" applyFont="1" applyFill="1" applyBorder="1" applyAlignment="1" applyProtection="1">
      <alignment horizontal="center" vertical="center" wrapText="1"/>
      <protection locked="0"/>
    </xf>
    <xf numFmtId="0" fontId="56" fillId="2" borderId="9" xfId="0" applyFont="1" applyFill="1" applyBorder="1" applyAlignment="1">
      <alignment horizontal="center" vertical="center" wrapText="1"/>
    </xf>
    <xf numFmtId="0" fontId="69" fillId="2" borderId="11" xfId="0" applyFont="1" applyFill="1" applyBorder="1" applyAlignment="1">
      <alignment horizontal="center" vertical="center" wrapText="1"/>
    </xf>
    <xf numFmtId="3" fontId="56" fillId="2" borderId="58" xfId="0" applyNumberFormat="1" applyFont="1" applyFill="1" applyBorder="1" applyAlignment="1">
      <alignment horizontal="center" vertical="center" wrapText="1"/>
    </xf>
    <xf numFmtId="0" fontId="56" fillId="2" borderId="136" xfId="0" applyFont="1" applyFill="1" applyBorder="1" applyAlignment="1">
      <alignment horizontal="center" vertical="center"/>
    </xf>
    <xf numFmtId="0" fontId="56" fillId="2" borderId="134" xfId="0" applyFont="1" applyFill="1" applyBorder="1" applyAlignment="1">
      <alignment horizontal="center" vertical="center"/>
    </xf>
    <xf numFmtId="0" fontId="56" fillId="2" borderId="125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 vertical="center"/>
    </xf>
    <xf numFmtId="0" fontId="70" fillId="0" borderId="0" xfId="0" applyFont="1" applyAlignment="1">
      <alignment horizontal="center" vertical="center"/>
    </xf>
    <xf numFmtId="3" fontId="9" fillId="2" borderId="171" xfId="0" applyNumberFormat="1" applyFont="1" applyFill="1" applyBorder="1" applyAlignment="1">
      <alignment horizontal="center" vertical="center"/>
    </xf>
    <xf numFmtId="3" fontId="10" fillId="5" borderId="171" xfId="2" applyNumberFormat="1" applyFont="1" applyFill="1" applyBorder="1" applyAlignment="1">
      <alignment horizontal="center" vertical="center" wrapText="1"/>
    </xf>
    <xf numFmtId="3" fontId="9" fillId="2" borderId="171" xfId="0" applyNumberFormat="1" applyFont="1" applyFill="1" applyBorder="1" applyAlignment="1">
      <alignment horizontal="center" vertical="center" wrapText="1"/>
    </xf>
    <xf numFmtId="3" fontId="9" fillId="3" borderId="171" xfId="0" applyNumberFormat="1" applyFont="1" applyFill="1" applyBorder="1" applyAlignment="1">
      <alignment horizontal="center" vertical="center" wrapText="1"/>
    </xf>
    <xf numFmtId="3" fontId="10" fillId="3" borderId="171" xfId="0" applyNumberFormat="1" applyFont="1" applyFill="1" applyBorder="1" applyAlignment="1">
      <alignment horizontal="center" vertical="center" wrapText="1"/>
    </xf>
    <xf numFmtId="3" fontId="11" fillId="3" borderId="151" xfId="0" applyNumberFormat="1" applyFont="1" applyFill="1" applyBorder="1" applyAlignment="1">
      <alignment horizontal="center" vertical="center"/>
    </xf>
    <xf numFmtId="3" fontId="10" fillId="3" borderId="128" xfId="0" applyNumberFormat="1" applyFont="1" applyFill="1" applyBorder="1" applyAlignment="1">
      <alignment horizontal="center" vertical="center" wrapText="1"/>
    </xf>
    <xf numFmtId="3" fontId="11" fillId="12" borderId="151" xfId="0" applyNumberFormat="1" applyFont="1" applyFill="1" applyBorder="1" applyAlignment="1">
      <alignment horizontal="center" vertical="center"/>
    </xf>
    <xf numFmtId="3" fontId="9" fillId="2" borderId="120" xfId="0" applyNumberFormat="1" applyFont="1" applyFill="1" applyBorder="1" applyAlignment="1">
      <alignment horizontal="center" vertical="center"/>
    </xf>
    <xf numFmtId="3" fontId="9" fillId="2" borderId="10" xfId="0" applyNumberFormat="1" applyFont="1" applyFill="1" applyBorder="1" applyAlignment="1">
      <alignment horizontal="center" vertical="center" wrapText="1"/>
    </xf>
    <xf numFmtId="49" fontId="9" fillId="3" borderId="0" xfId="0" applyNumberFormat="1" applyFont="1" applyFill="1" applyAlignment="1">
      <alignment horizontal="center" vertical="center" wrapText="1"/>
    </xf>
    <xf numFmtId="49" fontId="9" fillId="3" borderId="0" xfId="0" applyNumberFormat="1" applyFont="1" applyFill="1" applyAlignment="1">
      <alignment horizontal="left" wrapText="1"/>
    </xf>
    <xf numFmtId="0" fontId="9" fillId="8" borderId="20" xfId="2" applyFont="1" applyFill="1" applyBorder="1" applyAlignment="1">
      <alignment horizontal="left" vertical="center" wrapText="1"/>
    </xf>
    <xf numFmtId="3" fontId="10" fillId="4" borderId="128" xfId="0" applyNumberFormat="1" applyFont="1" applyFill="1" applyBorder="1" applyAlignment="1">
      <alignment horizontal="center" vertical="center"/>
    </xf>
    <xf numFmtId="0" fontId="68" fillId="3" borderId="191" xfId="0" applyFont="1" applyFill="1" applyBorder="1" applyAlignment="1">
      <alignment horizontal="center" vertical="center"/>
    </xf>
    <xf numFmtId="0" fontId="54" fillId="3" borderId="134" xfId="0" applyFont="1" applyFill="1" applyBorder="1" applyAlignment="1">
      <alignment horizontal="center" vertical="center"/>
    </xf>
    <xf numFmtId="0" fontId="67" fillId="0" borderId="125" xfId="0" applyFont="1" applyBorder="1" applyAlignment="1">
      <alignment wrapText="1"/>
    </xf>
    <xf numFmtId="3" fontId="37" fillId="3" borderId="128" xfId="0" applyNumberFormat="1" applyFont="1" applyFill="1" applyBorder="1" applyAlignment="1">
      <alignment horizontal="center" vertical="center" wrapText="1"/>
    </xf>
    <xf numFmtId="3" fontId="54" fillId="3" borderId="128" xfId="0" applyNumberFormat="1" applyFont="1" applyFill="1" applyBorder="1" applyAlignment="1">
      <alignment horizontal="center" vertical="center" wrapText="1"/>
    </xf>
    <xf numFmtId="3" fontId="54" fillId="3" borderId="173" xfId="0" applyNumberFormat="1" applyFont="1" applyFill="1" applyBorder="1" applyAlignment="1">
      <alignment horizontal="center" vertical="center" wrapText="1"/>
    </xf>
    <xf numFmtId="3" fontId="67" fillId="0" borderId="153" xfId="0" applyNumberFormat="1" applyFont="1" applyBorder="1" applyAlignment="1">
      <alignment horizontal="center" vertical="center"/>
    </xf>
    <xf numFmtId="0" fontId="68" fillId="3" borderId="134" xfId="0" applyFont="1" applyFill="1" applyBorder="1" applyAlignment="1">
      <alignment horizontal="center" vertical="center"/>
    </xf>
    <xf numFmtId="0" fontId="68" fillId="3" borderId="125" xfId="0" applyFont="1" applyFill="1" applyBorder="1" applyAlignment="1">
      <alignment horizontal="left" vertical="center" wrapText="1"/>
    </xf>
    <xf numFmtId="3" fontId="56" fillId="3" borderId="128" xfId="0" applyNumberFormat="1" applyFont="1" applyFill="1" applyBorder="1" applyAlignment="1">
      <alignment horizontal="center" vertical="center" wrapText="1"/>
    </xf>
    <xf numFmtId="3" fontId="56" fillId="3" borderId="153" xfId="0" applyNumberFormat="1" applyFont="1" applyFill="1" applyBorder="1" applyAlignment="1">
      <alignment horizontal="center" vertical="center" wrapText="1"/>
    </xf>
    <xf numFmtId="3" fontId="56" fillId="3" borderId="173" xfId="0" applyNumberFormat="1" applyFont="1" applyFill="1" applyBorder="1" applyAlignment="1">
      <alignment horizontal="center" vertical="center" wrapText="1"/>
    </xf>
    <xf numFmtId="0" fontId="68" fillId="0" borderId="125" xfId="0" applyFont="1" applyBorder="1" applyAlignment="1">
      <alignment horizontal="left" vertical="top" wrapText="1"/>
    </xf>
    <xf numFmtId="3" fontId="68" fillId="3" borderId="173" xfId="0" applyNumberFormat="1" applyFont="1" applyFill="1" applyBorder="1" applyAlignment="1">
      <alignment horizontal="center" vertical="center" wrapText="1"/>
    </xf>
    <xf numFmtId="3" fontId="68" fillId="0" borderId="153" xfId="0" applyNumberFormat="1" applyFont="1" applyBorder="1" applyAlignment="1">
      <alignment horizontal="center" vertical="center"/>
    </xf>
    <xf numFmtId="0" fontId="54" fillId="0" borderId="125" xfId="0" applyFont="1" applyBorder="1" applyAlignment="1">
      <alignment horizontal="left" wrapText="1"/>
    </xf>
    <xf numFmtId="3" fontId="54" fillId="0" borderId="153" xfId="0" applyNumberFormat="1" applyFont="1" applyBorder="1" applyAlignment="1">
      <alignment horizontal="center" vertical="center"/>
    </xf>
    <xf numFmtId="0" fontId="54" fillId="0" borderId="125" xfId="0" applyFont="1" applyFill="1" applyBorder="1" applyAlignment="1">
      <alignment horizontal="left" wrapText="1"/>
    </xf>
    <xf numFmtId="0" fontId="37" fillId="3" borderId="134" xfId="0" applyFont="1" applyFill="1" applyBorder="1" applyAlignment="1">
      <alignment horizontal="center" vertical="center"/>
    </xf>
    <xf numFmtId="0" fontId="54" fillId="3" borderId="125" xfId="0" applyFont="1" applyFill="1" applyBorder="1" applyAlignment="1">
      <alignment horizontal="left" vertical="center" wrapText="1"/>
    </xf>
    <xf numFmtId="0" fontId="37" fillId="3" borderId="140" xfId="0" applyFont="1" applyFill="1" applyBorder="1" applyAlignment="1">
      <alignment horizontal="center" vertical="center"/>
    </xf>
    <xf numFmtId="0" fontId="54" fillId="3" borderId="121" xfId="0" applyFont="1" applyFill="1" applyBorder="1" applyAlignment="1">
      <alignment horizontal="left" vertical="center" wrapText="1"/>
    </xf>
    <xf numFmtId="3" fontId="37" fillId="3" borderId="118" xfId="0" applyNumberFormat="1" applyFont="1" applyFill="1" applyBorder="1" applyAlignment="1">
      <alignment horizontal="center" vertical="center" wrapText="1"/>
    </xf>
    <xf numFmtId="3" fontId="54" fillId="3" borderId="149" xfId="0" applyNumberFormat="1" applyFont="1" applyFill="1" applyBorder="1" applyAlignment="1">
      <alignment horizontal="center" vertical="center" wrapText="1"/>
    </xf>
    <xf numFmtId="3" fontId="54" fillId="5" borderId="2" xfId="2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49" fontId="37" fillId="8" borderId="131" xfId="2" applyNumberFormat="1" applyFont="1" applyFill="1" applyBorder="1" applyAlignment="1">
      <alignment horizontal="center" vertical="center" wrapText="1"/>
    </xf>
    <xf numFmtId="49" fontId="37" fillId="8" borderId="151" xfId="2" applyNumberFormat="1" applyFont="1" applyFill="1" applyBorder="1" applyAlignment="1">
      <alignment horizontal="center" vertical="center" wrapText="1"/>
    </xf>
    <xf numFmtId="3" fontId="54" fillId="3" borderId="151" xfId="10" applyNumberFormat="1" applyFont="1" applyFill="1" applyBorder="1" applyAlignment="1">
      <alignment horizontal="center" vertical="center"/>
    </xf>
    <xf numFmtId="3" fontId="54" fillId="3" borderId="153" xfId="10" applyNumberFormat="1" applyFont="1" applyFill="1" applyBorder="1" applyAlignment="1">
      <alignment horizontal="center" vertical="center"/>
    </xf>
    <xf numFmtId="3" fontId="54" fillId="3" borderId="2" xfId="10" applyNumberFormat="1" applyFont="1" applyFill="1" applyBorder="1" applyAlignment="1">
      <alignment horizontal="center" vertical="center"/>
    </xf>
    <xf numFmtId="3" fontId="54" fillId="3" borderId="133" xfId="10" applyNumberFormat="1" applyFont="1" applyFill="1" applyBorder="1" applyAlignment="1">
      <alignment horizontal="center" vertical="center"/>
    </xf>
    <xf numFmtId="49" fontId="10" fillId="3" borderId="151" xfId="2" applyNumberFormat="1" applyFont="1" applyFill="1" applyBorder="1" applyAlignment="1" applyProtection="1">
      <alignment horizontal="center" vertical="center" wrapText="1"/>
      <protection locked="0"/>
    </xf>
    <xf numFmtId="49" fontId="9" fillId="3" borderId="15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/>
    </xf>
    <xf numFmtId="3" fontId="9" fillId="8" borderId="128" xfId="5" applyNumberFormat="1" applyFont="1" applyFill="1" applyBorder="1" applyAlignment="1">
      <alignment horizontal="center" vertical="center"/>
    </xf>
    <xf numFmtId="3" fontId="9" fillId="8" borderId="2" xfId="5" applyNumberFormat="1" applyFont="1" applyFill="1" applyBorder="1" applyAlignment="1">
      <alignment horizontal="center" vertical="center"/>
    </xf>
    <xf numFmtId="3" fontId="9" fillId="8" borderId="128" xfId="6" applyNumberFormat="1" applyFont="1" applyFill="1" applyBorder="1" applyAlignment="1">
      <alignment horizontal="center" vertical="center"/>
    </xf>
    <xf numFmtId="3" fontId="10" fillId="8" borderId="128" xfId="2" applyNumberFormat="1" applyFont="1" applyFill="1" applyBorder="1" applyAlignment="1">
      <alignment horizontal="center" vertical="center" wrapText="1"/>
    </xf>
    <xf numFmtId="3" fontId="10" fillId="8" borderId="128" xfId="2" applyNumberFormat="1" applyFont="1" applyFill="1" applyBorder="1" applyAlignment="1">
      <alignment horizontal="center" vertical="center"/>
    </xf>
    <xf numFmtId="3" fontId="9" fillId="8" borderId="128" xfId="2" applyNumberFormat="1" applyFont="1" applyFill="1" applyBorder="1" applyAlignment="1">
      <alignment horizontal="center" vertical="center" wrapText="1"/>
    </xf>
    <xf numFmtId="49" fontId="10" fillId="8" borderId="131" xfId="2" applyNumberFormat="1" applyFont="1" applyFill="1" applyBorder="1" applyAlignment="1">
      <alignment horizontal="center" vertical="center" wrapText="1"/>
    </xf>
    <xf numFmtId="3" fontId="9" fillId="8" borderId="153" xfId="5" applyNumberFormat="1" applyFont="1" applyFill="1" applyBorder="1" applyAlignment="1">
      <alignment horizontal="center" vertical="center"/>
    </xf>
    <xf numFmtId="49" fontId="9" fillId="3" borderId="136" xfId="2" applyNumberFormat="1" applyFont="1" applyFill="1" applyBorder="1" applyAlignment="1">
      <alignment horizontal="center" vertical="center" wrapText="1"/>
    </xf>
    <xf numFmtId="49" fontId="10" fillId="3" borderId="136" xfId="2" applyNumberFormat="1" applyFont="1" applyFill="1" applyBorder="1" applyAlignment="1">
      <alignment horizontal="center" vertical="center" wrapText="1"/>
    </xf>
    <xf numFmtId="49" fontId="10" fillId="8" borderId="136" xfId="2" applyNumberFormat="1" applyFont="1" applyFill="1" applyBorder="1" applyAlignment="1">
      <alignment horizontal="center" vertical="center" wrapText="1"/>
    </xf>
    <xf numFmtId="49" fontId="10" fillId="3" borderId="148" xfId="2" applyNumberFormat="1" applyFont="1" applyFill="1" applyBorder="1" applyAlignment="1">
      <alignment horizontal="center" vertical="center" wrapText="1"/>
    </xf>
    <xf numFmtId="0" fontId="9" fillId="3" borderId="152" xfId="2" applyFont="1" applyFill="1" applyBorder="1" applyAlignment="1">
      <alignment horizontal="left" vertical="center" wrapText="1"/>
    </xf>
    <xf numFmtId="0" fontId="10" fillId="3" borderId="152" xfId="2" applyFont="1" applyFill="1" applyBorder="1" applyAlignment="1">
      <alignment horizontal="left" vertical="center" wrapText="1"/>
    </xf>
    <xf numFmtId="3" fontId="13" fillId="8" borderId="151" xfId="5" applyNumberFormat="1" applyFont="1" applyFill="1" applyBorder="1" applyAlignment="1">
      <alignment horizontal="center" vertical="center"/>
    </xf>
    <xf numFmtId="3" fontId="13" fillId="3" borderId="153" xfId="0" applyNumberFormat="1" applyFont="1" applyFill="1" applyBorder="1" applyAlignment="1">
      <alignment horizontal="center" vertical="center"/>
    </xf>
    <xf numFmtId="3" fontId="4" fillId="3" borderId="153" xfId="0" applyNumberFormat="1" applyFont="1" applyFill="1" applyBorder="1" applyAlignment="1">
      <alignment horizontal="center" vertical="center"/>
    </xf>
    <xf numFmtId="0" fontId="9" fillId="0" borderId="152" xfId="0" applyFont="1" applyBorder="1" applyAlignment="1">
      <alignment horizontal="left" vertical="center"/>
    </xf>
    <xf numFmtId="3" fontId="9" fillId="8" borderId="153" xfId="6" applyNumberFormat="1" applyFont="1" applyFill="1" applyBorder="1" applyAlignment="1">
      <alignment horizontal="center" vertical="center"/>
    </xf>
    <xf numFmtId="0" fontId="9" fillId="3" borderId="152" xfId="2" applyFont="1" applyFill="1" applyBorder="1" applyAlignment="1" applyProtection="1">
      <alignment horizontal="left" vertical="center" wrapText="1"/>
      <protection locked="0"/>
    </xf>
    <xf numFmtId="49" fontId="10" fillId="8" borderId="151" xfId="2" applyNumberFormat="1" applyFont="1" applyFill="1" applyBorder="1" applyAlignment="1" applyProtection="1">
      <alignment horizontal="center" vertical="center" wrapText="1"/>
      <protection locked="0"/>
    </xf>
    <xf numFmtId="49" fontId="10" fillId="3" borderId="131" xfId="2" applyNumberFormat="1" applyFont="1" applyFill="1" applyBorder="1" applyAlignment="1" applyProtection="1">
      <alignment horizontal="center" vertical="center" wrapText="1"/>
      <protection locked="0"/>
    </xf>
    <xf numFmtId="49" fontId="24" fillId="3" borderId="131" xfId="2" applyNumberFormat="1" applyFont="1" applyFill="1" applyBorder="1" applyAlignment="1" applyProtection="1">
      <alignment horizontal="center" vertical="center" wrapText="1"/>
      <protection locked="0"/>
    </xf>
    <xf numFmtId="49" fontId="24" fillId="8" borderId="151" xfId="2" applyNumberFormat="1" applyFont="1" applyFill="1" applyBorder="1" applyAlignment="1">
      <alignment horizontal="center" vertical="center" wrapText="1"/>
    </xf>
    <xf numFmtId="49" fontId="10" fillId="3" borderId="135" xfId="2" applyNumberFormat="1" applyFont="1" applyFill="1" applyBorder="1" applyAlignment="1" applyProtection="1">
      <alignment horizontal="center" vertical="center" wrapText="1"/>
      <protection locked="0"/>
    </xf>
    <xf numFmtId="3" fontId="89" fillId="25" borderId="151" xfId="0" applyNumberFormat="1" applyFont="1" applyFill="1" applyBorder="1" applyAlignment="1">
      <alignment horizontal="center" vertical="center" wrapText="1"/>
    </xf>
    <xf numFmtId="3" fontId="11" fillId="12" borderId="151" xfId="4" applyNumberFormat="1" applyFont="1" applyFill="1" applyBorder="1" applyAlignment="1">
      <alignment horizontal="center" vertical="center" wrapText="1"/>
    </xf>
    <xf numFmtId="3" fontId="11" fillId="3" borderId="151" xfId="4" applyNumberFormat="1" applyFont="1" applyFill="1" applyBorder="1" applyAlignment="1">
      <alignment horizontal="center" vertical="center" wrapText="1"/>
    </xf>
    <xf numFmtId="3" fontId="11" fillId="25" borderId="151" xfId="4" applyNumberFormat="1" applyFont="1" applyFill="1" applyBorder="1" applyAlignment="1">
      <alignment horizontal="center" vertical="center" wrapText="1"/>
    </xf>
    <xf numFmtId="3" fontId="13" fillId="12" borderId="151" xfId="4" applyNumberFormat="1" applyFont="1" applyFill="1" applyBorder="1" applyAlignment="1">
      <alignment horizontal="center" vertical="center" wrapText="1"/>
    </xf>
    <xf numFmtId="3" fontId="13" fillId="3" borderId="151" xfId="4" applyNumberFormat="1" applyFont="1" applyFill="1" applyBorder="1" applyAlignment="1">
      <alignment horizontal="center" vertical="center" wrapText="1"/>
    </xf>
    <xf numFmtId="3" fontId="13" fillId="24" borderId="151" xfId="2" applyNumberFormat="1" applyFont="1" applyFill="1" applyBorder="1" applyAlignment="1">
      <alignment horizontal="center" vertical="center" wrapText="1"/>
    </xf>
    <xf numFmtId="3" fontId="13" fillId="8" borderId="151" xfId="2" applyNumberFormat="1" applyFont="1" applyFill="1" applyBorder="1" applyAlignment="1">
      <alignment horizontal="center" vertical="center" wrapText="1"/>
    </xf>
    <xf numFmtId="3" fontId="11" fillId="24" borderId="151" xfId="2" applyNumberFormat="1" applyFont="1" applyFill="1" applyBorder="1" applyAlignment="1">
      <alignment horizontal="center" vertical="center" wrapText="1"/>
    </xf>
    <xf numFmtId="3" fontId="27" fillId="12" borderId="151" xfId="4" applyNumberFormat="1" applyFont="1" applyFill="1" applyBorder="1" applyAlignment="1">
      <alignment horizontal="center" vertical="center" wrapText="1"/>
    </xf>
    <xf numFmtId="3" fontId="27" fillId="3" borderId="151" xfId="4" applyNumberFormat="1" applyFont="1" applyFill="1" applyBorder="1" applyAlignment="1">
      <alignment horizontal="center" vertical="center" wrapText="1"/>
    </xf>
    <xf numFmtId="3" fontId="27" fillId="25" borderId="151" xfId="4" applyNumberFormat="1" applyFont="1" applyFill="1" applyBorder="1" applyAlignment="1">
      <alignment horizontal="center" vertical="center" wrapText="1"/>
    </xf>
    <xf numFmtId="3" fontId="9" fillId="3" borderId="151" xfId="4" applyNumberFormat="1" applyFont="1" applyFill="1" applyBorder="1" applyAlignment="1">
      <alignment horizontal="center" vertical="center" wrapText="1"/>
    </xf>
    <xf numFmtId="3" fontId="11" fillId="12" borderId="151" xfId="0" applyNumberFormat="1" applyFont="1" applyFill="1" applyBorder="1" applyAlignment="1">
      <alignment horizontal="center" vertical="center" wrapText="1"/>
    </xf>
    <xf numFmtId="3" fontId="11" fillId="3" borderId="151" xfId="0" applyNumberFormat="1" applyFont="1" applyFill="1" applyBorder="1" applyAlignment="1">
      <alignment horizontal="center" vertical="center" wrapText="1"/>
    </xf>
    <xf numFmtId="3" fontId="13" fillId="12" borderId="151" xfId="0" applyNumberFormat="1" applyFont="1" applyFill="1" applyBorder="1" applyAlignment="1">
      <alignment horizontal="center" vertical="center" wrapText="1"/>
    </xf>
    <xf numFmtId="3" fontId="13" fillId="3" borderId="151" xfId="0" applyNumberFormat="1" applyFont="1" applyFill="1" applyBorder="1" applyAlignment="1">
      <alignment horizontal="center" vertical="center" wrapText="1"/>
    </xf>
    <xf numFmtId="3" fontId="11" fillId="25" borderId="151" xfId="0" applyNumberFormat="1" applyFont="1" applyFill="1" applyBorder="1" applyAlignment="1">
      <alignment horizontal="center" vertical="center" wrapText="1"/>
    </xf>
    <xf numFmtId="3" fontId="13" fillId="25" borderId="151" xfId="0" applyNumberFormat="1" applyFont="1" applyFill="1" applyBorder="1" applyAlignment="1">
      <alignment horizontal="center" vertical="center" wrapText="1"/>
    </xf>
    <xf numFmtId="3" fontId="26" fillId="3" borderId="128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 textRotation="255" wrapText="1"/>
    </xf>
    <xf numFmtId="3" fontId="38" fillId="5" borderId="0" xfId="2" applyNumberFormat="1" applyFont="1" applyFill="1" applyBorder="1" applyAlignment="1">
      <alignment horizontal="center" vertical="center" wrapText="1"/>
    </xf>
    <xf numFmtId="3" fontId="9" fillId="5" borderId="0" xfId="2" applyNumberFormat="1" applyFont="1" applyFill="1" applyBorder="1" applyAlignment="1">
      <alignment horizontal="center" vertical="center" wrapText="1"/>
    </xf>
    <xf numFmtId="3" fontId="12" fillId="23" borderId="0" xfId="2" applyNumberFormat="1" applyFont="1" applyFill="1" applyBorder="1" applyAlignment="1">
      <alignment horizontal="center" vertical="center" wrapText="1"/>
    </xf>
    <xf numFmtId="3" fontId="13" fillId="23" borderId="0" xfId="2" applyNumberFormat="1" applyFont="1" applyFill="1" applyBorder="1" applyAlignment="1">
      <alignment horizontal="center" vertical="center" wrapText="1"/>
    </xf>
    <xf numFmtId="3" fontId="10" fillId="23" borderId="0" xfId="2" applyNumberFormat="1" applyFont="1" applyFill="1" applyBorder="1" applyAlignment="1">
      <alignment horizontal="center" vertical="center" wrapText="1"/>
    </xf>
    <xf numFmtId="3" fontId="9" fillId="23" borderId="0" xfId="2" applyNumberFormat="1" applyFont="1" applyFill="1" applyBorder="1" applyAlignment="1">
      <alignment horizontal="center" vertical="center" wrapText="1"/>
    </xf>
    <xf numFmtId="3" fontId="9" fillId="22" borderId="0" xfId="2" applyNumberFormat="1" applyFont="1" applyFill="1" applyBorder="1" applyAlignment="1">
      <alignment horizontal="center" vertical="center" wrapText="1"/>
    </xf>
    <xf numFmtId="3" fontId="12" fillId="9" borderId="0" xfId="2" applyNumberFormat="1" applyFont="1" applyFill="1" applyBorder="1" applyAlignment="1">
      <alignment horizontal="center" vertical="center" wrapText="1"/>
    </xf>
    <xf numFmtId="3" fontId="19" fillId="5" borderId="0" xfId="2" applyNumberFormat="1" applyFont="1" applyFill="1" applyBorder="1" applyAlignment="1">
      <alignment horizontal="center" vertical="center" wrapText="1"/>
    </xf>
    <xf numFmtId="3" fontId="9" fillId="5" borderId="171" xfId="2" applyNumberFormat="1" applyFont="1" applyFill="1" applyBorder="1" applyAlignment="1">
      <alignment horizontal="center" vertical="center" wrapText="1"/>
    </xf>
    <xf numFmtId="3" fontId="9" fillId="9" borderId="171" xfId="2" applyNumberFormat="1" applyFont="1" applyFill="1" applyBorder="1" applyAlignment="1">
      <alignment horizontal="center" vertical="center" wrapText="1"/>
    </xf>
    <xf numFmtId="3" fontId="10" fillId="9" borderId="171" xfId="2" applyNumberFormat="1" applyFont="1" applyFill="1" applyBorder="1" applyAlignment="1">
      <alignment horizontal="center" vertical="center" wrapText="1"/>
    </xf>
    <xf numFmtId="3" fontId="10" fillId="3" borderId="171" xfId="0" applyNumberFormat="1" applyFont="1" applyFill="1" applyBorder="1" applyAlignment="1">
      <alignment horizontal="center" vertical="center"/>
    </xf>
    <xf numFmtId="3" fontId="9" fillId="8" borderId="171" xfId="2" applyNumberFormat="1" applyFont="1" applyFill="1" applyBorder="1" applyAlignment="1">
      <alignment horizontal="center" vertical="center"/>
    </xf>
    <xf numFmtId="3" fontId="11" fillId="3" borderId="171" xfId="0" applyNumberFormat="1" applyFont="1" applyFill="1" applyBorder="1" applyAlignment="1">
      <alignment horizontal="center" vertical="center" wrapText="1"/>
    </xf>
    <xf numFmtId="3" fontId="13" fillId="3" borderId="171" xfId="0" applyNumberFormat="1" applyFont="1" applyFill="1" applyBorder="1" applyAlignment="1">
      <alignment horizontal="center" vertical="center" wrapText="1"/>
    </xf>
    <xf numFmtId="3" fontId="27" fillId="3" borderId="171" xfId="0" applyNumberFormat="1" applyFont="1" applyFill="1" applyBorder="1" applyAlignment="1">
      <alignment horizontal="center" vertical="center" wrapText="1"/>
    </xf>
    <xf numFmtId="3" fontId="28" fillId="8" borderId="171" xfId="5" applyNumberFormat="1" applyFont="1" applyFill="1" applyBorder="1" applyAlignment="1">
      <alignment horizontal="center" vertical="center"/>
    </xf>
    <xf numFmtId="3" fontId="10" fillId="7" borderId="0" xfId="5" applyNumberFormat="1" applyFont="1" applyFill="1" applyBorder="1" applyAlignment="1">
      <alignment horizontal="center" vertical="center"/>
    </xf>
    <xf numFmtId="0" fontId="24" fillId="4" borderId="148" xfId="1" applyFont="1" applyFill="1" applyBorder="1" applyAlignment="1" applyProtection="1">
      <alignment horizontal="left" vertical="center" wrapText="1"/>
      <protection locked="0"/>
    </xf>
    <xf numFmtId="3" fontId="24" fillId="3" borderId="190" xfId="0" applyNumberFormat="1" applyFont="1" applyFill="1" applyBorder="1" applyAlignment="1">
      <alignment horizontal="center" vertical="center" wrapText="1"/>
    </xf>
    <xf numFmtId="3" fontId="62" fillId="0" borderId="0" xfId="0" applyNumberFormat="1" applyFont="1"/>
    <xf numFmtId="4" fontId="23" fillId="3" borderId="158" xfId="0" applyNumberFormat="1" applyFont="1" applyFill="1" applyBorder="1" applyAlignment="1">
      <alignment horizontal="center" vertical="center"/>
    </xf>
    <xf numFmtId="4" fontId="25" fillId="0" borderId="87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4" fontId="23" fillId="0" borderId="8" xfId="0" applyNumberFormat="1" applyFont="1" applyBorder="1" applyAlignment="1">
      <alignment horizontal="center" vertical="center"/>
    </xf>
    <xf numFmtId="4" fontId="23" fillId="3" borderId="49" xfId="0" applyNumberFormat="1" applyFont="1" applyFill="1" applyBorder="1" applyAlignment="1">
      <alignment horizontal="center" vertical="center"/>
    </xf>
    <xf numFmtId="4" fontId="23" fillId="0" borderId="151" xfId="0" applyNumberFormat="1" applyFont="1" applyBorder="1" applyAlignment="1">
      <alignment horizontal="center" vertical="center"/>
    </xf>
    <xf numFmtId="4" fontId="23" fillId="0" borderId="89" xfId="0" applyNumberFormat="1" applyFont="1" applyFill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4" fontId="25" fillId="0" borderId="161" xfId="0" applyNumberFormat="1" applyFont="1" applyBorder="1" applyAlignment="1">
      <alignment horizontal="center" vertical="center"/>
    </xf>
    <xf numFmtId="0" fontId="23" fillId="0" borderId="16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" fontId="23" fillId="3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3" fontId="62" fillId="3" borderId="0" xfId="0" applyNumberFormat="1" applyFont="1" applyFill="1"/>
    <xf numFmtId="3" fontId="24" fillId="3" borderId="2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/>
    </xf>
    <xf numFmtId="3" fontId="37" fillId="6" borderId="45" xfId="0" applyNumberFormat="1" applyFont="1" applyFill="1" applyBorder="1" applyAlignment="1" applyProtection="1">
      <alignment horizontal="center" vertical="center" wrapText="1"/>
      <protection locked="0"/>
    </xf>
    <xf numFmtId="3" fontId="37" fillId="6" borderId="8" xfId="0" applyNumberFormat="1" applyFont="1" applyFill="1" applyBorder="1" applyAlignment="1" applyProtection="1">
      <alignment horizontal="center" vertical="center" wrapText="1"/>
      <protection locked="0"/>
    </xf>
    <xf numFmtId="3" fontId="37" fillId="6" borderId="44" xfId="0" applyNumberFormat="1" applyFont="1" applyFill="1" applyBorder="1" applyAlignment="1" applyProtection="1">
      <alignment horizontal="center" vertical="center" wrapText="1"/>
      <protection locked="0"/>
    </xf>
    <xf numFmtId="3" fontId="37" fillId="2" borderId="2" xfId="0" applyNumberFormat="1" applyFont="1" applyFill="1" applyBorder="1" applyAlignment="1">
      <alignment horizontal="center" vertical="center"/>
    </xf>
    <xf numFmtId="3" fontId="37" fillId="2" borderId="2" xfId="10" applyNumberFormat="1" applyFont="1" applyFill="1" applyBorder="1" applyAlignment="1">
      <alignment horizontal="center" vertical="center"/>
    </xf>
    <xf numFmtId="3" fontId="37" fillId="3" borderId="2" xfId="10" applyNumberFormat="1" applyFont="1" applyFill="1" applyBorder="1" applyAlignment="1">
      <alignment horizontal="center" vertical="center"/>
    </xf>
    <xf numFmtId="0" fontId="31" fillId="0" borderId="7" xfId="0" applyFont="1" applyBorder="1" applyAlignment="1">
      <alignment vertical="center" wrapText="1"/>
    </xf>
    <xf numFmtId="0" fontId="31" fillId="0" borderId="131" xfId="0" applyFont="1" applyBorder="1" applyAlignment="1">
      <alignment vertical="center" wrapText="1"/>
    </xf>
    <xf numFmtId="0" fontId="25" fillId="0" borderId="131" xfId="0" applyFont="1" applyBorder="1"/>
    <xf numFmtId="4" fontId="25" fillId="12" borderId="158" xfId="0" applyNumberFormat="1" applyFont="1" applyFill="1" applyBorder="1" applyAlignment="1">
      <alignment horizontal="center" vertical="center"/>
    </xf>
    <xf numFmtId="0" fontId="25" fillId="0" borderId="117" xfId="0" applyFont="1" applyBorder="1" applyAlignment="1">
      <alignment wrapText="1"/>
    </xf>
    <xf numFmtId="0" fontId="23" fillId="0" borderId="7" xfId="0" applyFont="1" applyBorder="1"/>
    <xf numFmtId="4" fontId="23" fillId="3" borderId="8" xfId="0" applyNumberFormat="1" applyFont="1" applyFill="1" applyBorder="1" applyAlignment="1">
      <alignment horizontal="center" vertical="center"/>
    </xf>
    <xf numFmtId="4" fontId="23" fillId="3" borderId="151" xfId="0" applyNumberFormat="1" applyFont="1" applyFill="1" applyBorder="1" applyAlignment="1">
      <alignment horizontal="center" vertical="center"/>
    </xf>
    <xf numFmtId="4" fontId="25" fillId="3" borderId="151" xfId="0" applyNumberFormat="1" applyFont="1" applyFill="1" applyBorder="1" applyAlignment="1">
      <alignment horizontal="center" vertical="center"/>
    </xf>
    <xf numFmtId="4" fontId="25" fillId="3" borderId="158" xfId="0" applyNumberFormat="1" applyFont="1" applyFill="1" applyBorder="1" applyAlignment="1">
      <alignment horizontal="center" vertical="center"/>
    </xf>
    <xf numFmtId="3" fontId="24" fillId="3" borderId="158" xfId="0" applyNumberFormat="1" applyFont="1" applyFill="1" applyBorder="1" applyAlignment="1">
      <alignment horizontal="center" vertical="center" wrapText="1"/>
    </xf>
    <xf numFmtId="4" fontId="31" fillId="0" borderId="151" xfId="0" applyNumberFormat="1" applyFont="1" applyFill="1" applyBorder="1" applyAlignment="1">
      <alignment horizontal="center" vertical="center"/>
    </xf>
    <xf numFmtId="4" fontId="31" fillId="0" borderId="158" xfId="0" applyNumberFormat="1" applyFont="1" applyFill="1" applyBorder="1" applyAlignment="1">
      <alignment horizontal="center" vertical="center"/>
    </xf>
    <xf numFmtId="0" fontId="31" fillId="3" borderId="131" xfId="0" applyFont="1" applyFill="1" applyBorder="1" applyAlignment="1">
      <alignment vertical="center" wrapText="1"/>
    </xf>
    <xf numFmtId="4" fontId="31" fillId="3" borderId="151" xfId="0" applyNumberFormat="1" applyFont="1" applyFill="1" applyBorder="1" applyAlignment="1">
      <alignment horizontal="center" vertical="center"/>
    </xf>
    <xf numFmtId="4" fontId="31" fillId="3" borderId="158" xfId="0" applyNumberFormat="1" applyFont="1" applyFill="1" applyBorder="1" applyAlignment="1">
      <alignment horizontal="center" vertical="center"/>
    </xf>
    <xf numFmtId="0" fontId="24" fillId="0" borderId="131" xfId="0" applyFont="1" applyFill="1" applyBorder="1" applyAlignment="1">
      <alignment horizontal="left" vertical="top" wrapText="1"/>
    </xf>
    <xf numFmtId="167" fontId="24" fillId="0" borderId="158" xfId="0" applyNumberFormat="1" applyFont="1" applyFill="1" applyBorder="1" applyAlignment="1">
      <alignment horizontal="center" vertical="center" wrapText="1"/>
    </xf>
    <xf numFmtId="4" fontId="65" fillId="29" borderId="0" xfId="0" applyNumberFormat="1" applyFont="1" applyFill="1"/>
    <xf numFmtId="0" fontId="62" fillId="29" borderId="0" xfId="0" applyFont="1" applyFill="1"/>
    <xf numFmtId="0" fontId="0" fillId="29" borderId="0" xfId="0" applyFill="1"/>
    <xf numFmtId="0" fontId="99" fillId="29" borderId="0" xfId="0" applyFont="1" applyFill="1"/>
    <xf numFmtId="3" fontId="0" fillId="29" borderId="0" xfId="0" applyNumberFormat="1" applyFill="1"/>
    <xf numFmtId="0" fontId="0" fillId="29" borderId="0" xfId="0" applyFont="1" applyFill="1"/>
    <xf numFmtId="0" fontId="25" fillId="12" borderId="131" xfId="0" applyFont="1" applyFill="1" applyBorder="1"/>
    <xf numFmtId="4" fontId="25" fillId="12" borderId="151" xfId="0" applyNumberFormat="1" applyFont="1" applyFill="1" applyBorder="1" applyAlignment="1">
      <alignment horizontal="center" vertical="center"/>
    </xf>
    <xf numFmtId="0" fontId="23" fillId="0" borderId="7" xfId="0" applyFont="1" applyBorder="1" applyAlignment="1">
      <alignment horizontal="left" vertical="center"/>
    </xf>
    <xf numFmtId="0" fontId="24" fillId="3" borderId="131" xfId="0" applyFont="1" applyFill="1" applyBorder="1" applyAlignment="1">
      <alignment horizontal="left" vertical="center" wrapText="1"/>
    </xf>
    <xf numFmtId="0" fontId="25" fillId="12" borderId="135" xfId="0" applyFont="1" applyFill="1" applyBorder="1"/>
    <xf numFmtId="4" fontId="32" fillId="12" borderId="123" xfId="0" applyNumberFormat="1" applyFont="1" applyFill="1" applyBorder="1" applyAlignment="1">
      <alignment horizontal="center" vertical="center"/>
    </xf>
    <xf numFmtId="3" fontId="32" fillId="12" borderId="182" xfId="0" applyNumberFormat="1" applyFont="1" applyFill="1" applyBorder="1" applyAlignment="1">
      <alignment horizontal="center" vertical="center"/>
    </xf>
    <xf numFmtId="0" fontId="32" fillId="12" borderId="135" xfId="0" applyFont="1" applyFill="1" applyBorder="1" applyAlignment="1">
      <alignment vertical="center" wrapText="1"/>
    </xf>
    <xf numFmtId="4" fontId="25" fillId="12" borderId="123" xfId="0" applyNumberFormat="1" applyFont="1" applyFill="1" applyBorder="1" applyAlignment="1">
      <alignment horizontal="center" vertical="center"/>
    </xf>
    <xf numFmtId="4" fontId="25" fillId="12" borderId="182" xfId="0" applyNumberFormat="1" applyFont="1" applyFill="1" applyBorder="1" applyAlignment="1">
      <alignment horizontal="center" vertical="center"/>
    </xf>
    <xf numFmtId="3" fontId="37" fillId="2" borderId="47" xfId="0" applyNumberFormat="1" applyFont="1" applyFill="1" applyBorder="1" applyAlignment="1">
      <alignment horizontal="center" vertical="center"/>
    </xf>
    <xf numFmtId="3" fontId="54" fillId="3" borderId="2" xfId="0" applyNumberFormat="1" applyFont="1" applyFill="1" applyBorder="1" applyAlignment="1">
      <alignment horizontal="center" vertical="center"/>
    </xf>
    <xf numFmtId="49" fontId="10" fillId="3" borderId="0" xfId="2" applyNumberFormat="1" applyFont="1" applyFill="1" applyBorder="1" applyAlignment="1">
      <alignment horizontal="center" vertical="center" wrapText="1"/>
    </xf>
    <xf numFmtId="49" fontId="37" fillId="8" borderId="212" xfId="2" applyNumberFormat="1" applyFont="1" applyFill="1" applyBorder="1" applyAlignment="1">
      <alignment horizontal="center" vertical="center" wrapText="1"/>
    </xf>
    <xf numFmtId="0" fontId="69" fillId="2" borderId="212" xfId="0" applyFont="1" applyFill="1" applyBorder="1"/>
    <xf numFmtId="0" fontId="69" fillId="2" borderId="151" xfId="0" applyFont="1" applyFill="1" applyBorder="1"/>
    <xf numFmtId="49" fontId="103" fillId="5" borderId="151" xfId="2" applyNumberFormat="1" applyFont="1" applyFill="1" applyBorder="1" applyAlignment="1">
      <alignment vertical="center" wrapText="1"/>
    </xf>
    <xf numFmtId="0" fontId="69" fillId="2" borderId="213" xfId="0" applyFont="1" applyFill="1" applyBorder="1"/>
    <xf numFmtId="0" fontId="104" fillId="3" borderId="0" xfId="0" applyFont="1" applyFill="1"/>
    <xf numFmtId="0" fontId="104" fillId="0" borderId="0" xfId="0" applyFont="1"/>
    <xf numFmtId="0" fontId="64" fillId="0" borderId="0" xfId="0" applyFont="1"/>
    <xf numFmtId="3" fontId="105" fillId="2" borderId="0" xfId="0" applyNumberFormat="1" applyFont="1" applyFill="1" applyBorder="1" applyAlignment="1">
      <alignment horizontal="center" vertical="center" textRotation="255" wrapText="1"/>
    </xf>
    <xf numFmtId="3" fontId="105" fillId="5" borderId="0" xfId="2" applyNumberFormat="1" applyFont="1" applyFill="1" applyBorder="1" applyAlignment="1">
      <alignment horizontal="center" vertical="center" wrapText="1"/>
    </xf>
    <xf numFmtId="0" fontId="106" fillId="0" borderId="60" xfId="0" applyFont="1" applyBorder="1" applyAlignment="1">
      <alignment horizontal="center" vertical="center"/>
    </xf>
    <xf numFmtId="0" fontId="106" fillId="11" borderId="60" xfId="0" applyFont="1" applyFill="1" applyBorder="1" applyAlignment="1">
      <alignment horizontal="center" vertical="center"/>
    </xf>
    <xf numFmtId="4" fontId="107" fillId="11" borderId="93" xfId="0" applyNumberFormat="1" applyFont="1" applyFill="1" applyBorder="1" applyAlignment="1">
      <alignment horizontal="center" vertical="center"/>
    </xf>
    <xf numFmtId="4" fontId="106" fillId="3" borderId="95" xfId="0" applyNumberFormat="1" applyFont="1" applyFill="1" applyBorder="1" applyAlignment="1">
      <alignment horizontal="center" vertical="center"/>
    </xf>
    <xf numFmtId="4" fontId="106" fillId="11" borderId="95" xfId="0" applyNumberFormat="1" applyFont="1" applyFill="1" applyBorder="1" applyAlignment="1">
      <alignment horizontal="center" vertical="center"/>
    </xf>
    <xf numFmtId="4" fontId="108" fillId="12" borderId="93" xfId="0" applyNumberFormat="1" applyFont="1" applyFill="1" applyBorder="1" applyAlignment="1">
      <alignment horizontal="center" vertical="center"/>
    </xf>
    <xf numFmtId="4" fontId="106" fillId="11" borderId="93" xfId="0" applyNumberFormat="1" applyFont="1" applyFill="1" applyBorder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107" fillId="0" borderId="8" xfId="0" applyFont="1" applyBorder="1" applyAlignment="1">
      <alignment horizontal="center" vertical="center"/>
    </xf>
    <xf numFmtId="0" fontId="107" fillId="0" borderId="49" xfId="0" applyFont="1" applyBorder="1" applyAlignment="1">
      <alignment horizontal="center" vertical="center"/>
    </xf>
    <xf numFmtId="4" fontId="107" fillId="0" borderId="151" xfId="0" applyNumberFormat="1" applyFont="1" applyBorder="1" applyAlignment="1">
      <alignment horizontal="center" vertical="center"/>
    </xf>
    <xf numFmtId="4" fontId="107" fillId="0" borderId="158" xfId="0" applyNumberFormat="1" applyFont="1" applyBorder="1" applyAlignment="1">
      <alignment horizontal="center" vertical="center"/>
    </xf>
    <xf numFmtId="4" fontId="106" fillId="0" borderId="151" xfId="0" applyNumberFormat="1" applyFont="1" applyBorder="1" applyAlignment="1">
      <alignment horizontal="center" vertical="center"/>
    </xf>
    <xf numFmtId="4" fontId="106" fillId="0" borderId="158" xfId="0" applyNumberFormat="1" applyFont="1" applyBorder="1" applyAlignment="1">
      <alignment horizontal="center" vertical="center"/>
    </xf>
    <xf numFmtId="4" fontId="106" fillId="0" borderId="123" xfId="0" applyNumberFormat="1" applyFont="1" applyBorder="1" applyAlignment="1">
      <alignment horizontal="center" vertical="center"/>
    </xf>
    <xf numFmtId="4" fontId="106" fillId="0" borderId="182" xfId="0" applyNumberFormat="1" applyFont="1" applyBorder="1" applyAlignment="1">
      <alignment horizontal="center" vertical="center"/>
    </xf>
    <xf numFmtId="0" fontId="107" fillId="0" borderId="92" xfId="0" applyFont="1" applyBorder="1" applyAlignment="1">
      <alignment horizontal="center" vertical="center"/>
    </xf>
    <xf numFmtId="4" fontId="107" fillId="3" borderId="93" xfId="0" applyNumberFormat="1" applyFont="1" applyFill="1" applyBorder="1" applyAlignment="1">
      <alignment horizontal="center" vertical="center"/>
    </xf>
    <xf numFmtId="4" fontId="107" fillId="11" borderId="8" xfId="0" applyNumberFormat="1" applyFont="1" applyFill="1" applyBorder="1" applyAlignment="1">
      <alignment horizontal="center" vertical="center"/>
    </xf>
    <xf numFmtId="4" fontId="107" fillId="11" borderId="49" xfId="0" applyNumberFormat="1" applyFont="1" applyFill="1" applyBorder="1" applyAlignment="1">
      <alignment horizontal="center" vertical="center"/>
    </xf>
    <xf numFmtId="4" fontId="107" fillId="11" borderId="151" xfId="0" applyNumberFormat="1" applyFont="1" applyFill="1" applyBorder="1" applyAlignment="1">
      <alignment horizontal="center" vertical="center"/>
    </xf>
    <xf numFmtId="4" fontId="107" fillId="11" borderId="158" xfId="0" applyNumberFormat="1" applyFont="1" applyFill="1" applyBorder="1" applyAlignment="1">
      <alignment horizontal="center" vertical="center"/>
    </xf>
    <xf numFmtId="4" fontId="107" fillId="11" borderId="206" xfId="0" applyNumberFormat="1" applyFont="1" applyFill="1" applyBorder="1" applyAlignment="1">
      <alignment horizontal="center" vertical="center"/>
    </xf>
    <xf numFmtId="4" fontId="106" fillId="11" borderId="207" xfId="0" applyNumberFormat="1" applyFont="1" applyFill="1" applyBorder="1" applyAlignment="1">
      <alignment horizontal="center" vertical="center"/>
    </xf>
    <xf numFmtId="4" fontId="107" fillId="11" borderId="0" xfId="0" applyNumberFormat="1" applyFont="1" applyFill="1" applyBorder="1" applyAlignment="1">
      <alignment horizontal="center" vertical="center"/>
    </xf>
    <xf numFmtId="3" fontId="107" fillId="0" borderId="162" xfId="0" applyNumberFormat="1" applyFont="1" applyBorder="1" applyAlignment="1">
      <alignment horizontal="center" vertical="center"/>
    </xf>
    <xf numFmtId="3" fontId="57" fillId="11" borderId="84" xfId="0" applyNumberFormat="1" applyFont="1" applyFill="1" applyBorder="1" applyAlignment="1">
      <alignment horizontal="center" vertical="center"/>
    </xf>
    <xf numFmtId="3" fontId="57" fillId="11" borderId="158" xfId="0" applyNumberFormat="1" applyFont="1" applyFill="1" applyBorder="1" applyAlignment="1">
      <alignment horizontal="center" vertical="center"/>
    </xf>
    <xf numFmtId="3" fontId="57" fillId="11" borderId="160" xfId="0" applyNumberFormat="1" applyFont="1" applyFill="1" applyBorder="1" applyAlignment="1">
      <alignment horizontal="center" vertical="center"/>
    </xf>
    <xf numFmtId="3" fontId="57" fillId="11" borderId="179" xfId="0" applyNumberFormat="1" applyFont="1" applyFill="1" applyBorder="1" applyAlignment="1">
      <alignment horizontal="center" vertical="center"/>
    </xf>
    <xf numFmtId="3" fontId="57" fillId="11" borderId="181" xfId="0" applyNumberFormat="1" applyFont="1" applyFill="1" applyBorder="1" applyAlignment="1">
      <alignment horizontal="center" vertical="center"/>
    </xf>
    <xf numFmtId="3" fontId="106" fillId="0" borderId="51" xfId="0" applyNumberFormat="1" applyFont="1" applyBorder="1" applyAlignment="1">
      <alignment horizontal="center" vertical="center"/>
    </xf>
    <xf numFmtId="0" fontId="107" fillId="0" borderId="0" xfId="0" applyFont="1" applyAlignment="1">
      <alignment horizontal="center" vertical="center"/>
    </xf>
    <xf numFmtId="4" fontId="107" fillId="11" borderId="84" xfId="0" applyNumberFormat="1" applyFont="1" applyFill="1" applyBorder="1" applyAlignment="1">
      <alignment horizontal="center" vertical="center"/>
    </xf>
    <xf numFmtId="0" fontId="107" fillId="11" borderId="84" xfId="0" applyFont="1" applyFill="1" applyBorder="1" applyAlignment="1">
      <alignment horizontal="center" vertical="center"/>
    </xf>
    <xf numFmtId="3" fontId="107" fillId="11" borderId="84" xfId="0" applyNumberFormat="1" applyFont="1" applyFill="1" applyBorder="1" applyAlignment="1">
      <alignment horizontal="center" vertical="center"/>
    </xf>
    <xf numFmtId="4" fontId="106" fillId="11" borderId="51" xfId="0" applyNumberFormat="1" applyFont="1" applyFill="1" applyBorder="1" applyAlignment="1">
      <alignment horizontal="center" vertical="center"/>
    </xf>
    <xf numFmtId="4" fontId="106" fillId="11" borderId="0" xfId="0" applyNumberFormat="1" applyFont="1" applyFill="1" applyBorder="1" applyAlignment="1">
      <alignment horizontal="center" vertical="center"/>
    </xf>
    <xf numFmtId="5" fontId="57" fillId="0" borderId="158" xfId="0" applyNumberFormat="1" applyFont="1" applyBorder="1" applyAlignment="1">
      <alignment horizontal="center" vertical="center" wrapText="1"/>
    </xf>
    <xf numFmtId="4" fontId="106" fillId="11" borderId="123" xfId="0" applyNumberFormat="1" applyFont="1" applyFill="1" applyBorder="1" applyAlignment="1">
      <alignment horizontal="center" vertical="center"/>
    </xf>
    <xf numFmtId="4" fontId="106" fillId="11" borderId="182" xfId="0" applyNumberFormat="1" applyFont="1" applyFill="1" applyBorder="1" applyAlignment="1">
      <alignment horizontal="center" vertical="center"/>
    </xf>
    <xf numFmtId="0" fontId="85" fillId="0" borderId="8" xfId="0" applyFont="1" applyFill="1" applyBorder="1" applyAlignment="1">
      <alignment horizontal="center" vertical="center"/>
    </xf>
    <xf numFmtId="0" fontId="85" fillId="0" borderId="49" xfId="0" applyFont="1" applyFill="1" applyBorder="1" applyAlignment="1">
      <alignment horizontal="center" vertical="center"/>
    </xf>
    <xf numFmtId="4" fontId="101" fillId="0" borderId="151" xfId="0" applyNumberFormat="1" applyFont="1" applyFill="1" applyBorder="1" applyAlignment="1">
      <alignment horizontal="center" vertical="center"/>
    </xf>
    <xf numFmtId="4" fontId="101" fillId="0" borderId="158" xfId="0" applyNumberFormat="1" applyFont="1" applyFill="1" applyBorder="1" applyAlignment="1">
      <alignment horizontal="center" vertical="center"/>
    </xf>
    <xf numFmtId="4" fontId="85" fillId="0" borderId="151" xfId="0" applyNumberFormat="1" applyFont="1" applyFill="1" applyBorder="1" applyAlignment="1">
      <alignment horizontal="center" vertical="center"/>
    </xf>
    <xf numFmtId="4" fontId="85" fillId="0" borderId="158" xfId="0" applyNumberFormat="1" applyFont="1" applyFill="1" applyBorder="1" applyAlignment="1">
      <alignment horizontal="center" vertical="center"/>
    </xf>
    <xf numFmtId="4" fontId="85" fillId="0" borderId="123" xfId="0" applyNumberFormat="1" applyFont="1" applyFill="1" applyBorder="1" applyAlignment="1">
      <alignment horizontal="center" vertical="center"/>
    </xf>
    <xf numFmtId="4" fontId="85" fillId="0" borderId="182" xfId="0" applyNumberFormat="1" applyFont="1" applyFill="1" applyBorder="1" applyAlignment="1">
      <alignment horizontal="center" vertical="center"/>
    </xf>
    <xf numFmtId="3" fontId="85" fillId="0" borderId="70" xfId="0" applyNumberFormat="1" applyFont="1" applyFill="1" applyBorder="1" applyAlignment="1">
      <alignment horizontal="center" vertical="center"/>
    </xf>
    <xf numFmtId="0" fontId="85" fillId="0" borderId="70" xfId="0" applyFont="1" applyFill="1" applyBorder="1" applyAlignment="1">
      <alignment horizontal="center" vertical="center"/>
    </xf>
    <xf numFmtId="4" fontId="85" fillId="0" borderId="70" xfId="0" applyNumberFormat="1" applyFont="1" applyFill="1" applyBorder="1" applyAlignment="1">
      <alignment horizontal="center" vertical="center"/>
    </xf>
    <xf numFmtId="4" fontId="101" fillId="0" borderId="0" xfId="0" applyNumberFormat="1" applyFont="1" applyAlignment="1">
      <alignment horizontal="center" vertical="center"/>
    </xf>
    <xf numFmtId="0" fontId="106" fillId="0" borderId="164" xfId="0" applyFont="1" applyBorder="1" applyAlignment="1">
      <alignment vertical="center" wrapText="1"/>
    </xf>
    <xf numFmtId="0" fontId="107" fillId="0" borderId="90" xfId="0" applyFont="1" applyBorder="1" applyAlignment="1">
      <alignment vertical="center" wrapText="1"/>
    </xf>
    <xf numFmtId="0" fontId="106" fillId="0" borderId="94" xfId="0" applyFont="1" applyBorder="1" applyAlignment="1">
      <alignment vertical="center" wrapText="1"/>
    </xf>
    <xf numFmtId="0" fontId="106" fillId="0" borderId="90" xfId="0" applyFont="1" applyBorder="1" applyAlignment="1">
      <alignment vertical="center" wrapText="1"/>
    </xf>
    <xf numFmtId="0" fontId="101" fillId="0" borderId="0" xfId="0" applyFont="1" applyAlignment="1">
      <alignment vertical="center" wrapText="1"/>
    </xf>
    <xf numFmtId="0" fontId="85" fillId="0" borderId="0" xfId="0" applyFont="1" applyAlignment="1">
      <alignment vertical="center" wrapText="1"/>
    </xf>
    <xf numFmtId="0" fontId="106" fillId="0" borderId="7" xfId="0" applyFont="1" applyBorder="1" applyAlignment="1">
      <alignment vertical="center" wrapText="1"/>
    </xf>
    <xf numFmtId="0" fontId="107" fillId="0" borderId="131" xfId="0" applyFont="1" applyBorder="1" applyAlignment="1">
      <alignment vertical="center" wrapText="1"/>
    </xf>
    <xf numFmtId="0" fontId="106" fillId="0" borderId="131" xfId="0" applyFont="1" applyBorder="1" applyAlignment="1">
      <alignment vertical="center" wrapText="1"/>
    </xf>
    <xf numFmtId="0" fontId="106" fillId="0" borderId="135" xfId="0" applyFont="1" applyBorder="1" applyAlignment="1">
      <alignment vertical="center" wrapText="1"/>
    </xf>
    <xf numFmtId="0" fontId="106" fillId="0" borderId="0" xfId="0" applyFont="1" applyAlignment="1">
      <alignment vertical="center" wrapText="1"/>
    </xf>
    <xf numFmtId="0" fontId="106" fillId="0" borderId="91" xfId="0" applyFont="1" applyBorder="1" applyAlignment="1">
      <alignment vertical="center" wrapText="1"/>
    </xf>
    <xf numFmtId="0" fontId="107" fillId="3" borderId="90" xfId="0" applyFont="1" applyFill="1" applyBorder="1" applyAlignment="1">
      <alignment vertical="center" wrapText="1"/>
    </xf>
    <xf numFmtId="0" fontId="107" fillId="0" borderId="7" xfId="0" applyFont="1" applyBorder="1" applyAlignment="1">
      <alignment vertical="center" wrapText="1"/>
    </xf>
    <xf numFmtId="0" fontId="106" fillId="0" borderId="205" xfId="0" applyFont="1" applyBorder="1" applyAlignment="1">
      <alignment vertical="center" wrapText="1"/>
    </xf>
    <xf numFmtId="0" fontId="106" fillId="0" borderId="0" xfId="0" applyFont="1" applyBorder="1" applyAlignment="1">
      <alignment vertical="center" wrapText="1"/>
    </xf>
    <xf numFmtId="0" fontId="107" fillId="0" borderId="66" xfId="0" applyFont="1" applyBorder="1" applyAlignment="1">
      <alignment vertical="center" wrapText="1"/>
    </xf>
    <xf numFmtId="0" fontId="101" fillId="11" borderId="65" xfId="0" applyFont="1" applyFill="1" applyBorder="1" applyAlignment="1">
      <alignment vertical="center" wrapText="1"/>
    </xf>
    <xf numFmtId="0" fontId="101" fillId="11" borderId="131" xfId="0" applyFont="1" applyFill="1" applyBorder="1" applyAlignment="1">
      <alignment vertical="center" wrapText="1"/>
    </xf>
    <xf numFmtId="0" fontId="101" fillId="11" borderId="159" xfId="0" applyFont="1" applyFill="1" applyBorder="1" applyAlignment="1">
      <alignment vertical="center" wrapText="1"/>
    </xf>
    <xf numFmtId="0" fontId="101" fillId="11" borderId="178" xfId="0" applyFont="1" applyFill="1" applyBorder="1" applyAlignment="1">
      <alignment vertical="center" wrapText="1"/>
    </xf>
    <xf numFmtId="0" fontId="101" fillId="11" borderId="180" xfId="0" applyFont="1" applyFill="1" applyBorder="1" applyAlignment="1">
      <alignment vertical="center" wrapText="1"/>
    </xf>
    <xf numFmtId="0" fontId="85" fillId="11" borderId="16" xfId="0" applyFont="1" applyFill="1" applyBorder="1" applyAlignment="1">
      <alignment vertical="center" wrapText="1"/>
    </xf>
    <xf numFmtId="0" fontId="107" fillId="0" borderId="0" xfId="0" applyFont="1" applyAlignment="1">
      <alignment vertical="center" wrapText="1"/>
    </xf>
    <xf numFmtId="0" fontId="107" fillId="11" borderId="65" xfId="0" applyFont="1" applyFill="1" applyBorder="1" applyAlignment="1">
      <alignment vertical="center" wrapText="1"/>
    </xf>
    <xf numFmtId="0" fontId="107" fillId="11" borderId="16" xfId="0" applyFont="1" applyFill="1" applyBorder="1" applyAlignment="1">
      <alignment vertical="center" wrapText="1"/>
    </xf>
    <xf numFmtId="0" fontId="107" fillId="11" borderId="0" xfId="0" applyFont="1" applyFill="1" applyBorder="1" applyAlignment="1">
      <alignment vertical="center" wrapText="1"/>
    </xf>
    <xf numFmtId="0" fontId="107" fillId="11" borderId="131" xfId="0" applyFont="1" applyFill="1" applyBorder="1" applyAlignment="1">
      <alignment vertical="center" wrapText="1"/>
    </xf>
    <xf numFmtId="0" fontId="106" fillId="11" borderId="135" xfId="0" applyFont="1" applyFill="1" applyBorder="1" applyAlignment="1">
      <alignment vertical="center" wrapText="1"/>
    </xf>
    <xf numFmtId="0" fontId="106" fillId="11" borderId="0" xfId="0" applyFont="1" applyFill="1" applyBorder="1" applyAlignment="1">
      <alignment vertical="center" wrapText="1"/>
    </xf>
    <xf numFmtId="0" fontId="85" fillId="0" borderId="7" xfId="0" applyFont="1" applyFill="1" applyBorder="1" applyAlignment="1">
      <alignment vertical="center" wrapText="1"/>
    </xf>
    <xf numFmtId="0" fontId="101" fillId="0" borderId="131" xfId="0" applyFont="1" applyFill="1" applyBorder="1" applyAlignment="1">
      <alignment vertical="center" wrapText="1"/>
    </xf>
    <xf numFmtId="0" fontId="85" fillId="0" borderId="131" xfId="0" applyFont="1" applyFill="1" applyBorder="1" applyAlignment="1">
      <alignment vertical="center" wrapText="1"/>
    </xf>
    <xf numFmtId="0" fontId="85" fillId="0" borderId="135" xfId="0" applyFont="1" applyFill="1" applyBorder="1" applyAlignment="1">
      <alignment vertical="center" wrapText="1"/>
    </xf>
    <xf numFmtId="0" fontId="85" fillId="0" borderId="70" xfId="0" applyFont="1" applyFill="1" applyBorder="1" applyAlignment="1">
      <alignment vertical="center" wrapText="1"/>
    </xf>
    <xf numFmtId="0" fontId="101" fillId="0" borderId="0" xfId="0" applyFont="1" applyAlignment="1">
      <alignment wrapText="1"/>
    </xf>
    <xf numFmtId="0" fontId="4" fillId="2" borderId="223" xfId="0" applyFont="1" applyFill="1" applyBorder="1"/>
    <xf numFmtId="49" fontId="9" fillId="3" borderId="225" xfId="2" applyNumberFormat="1" applyFont="1" applyFill="1" applyBorder="1" applyAlignment="1">
      <alignment horizontal="center" vertical="center" wrapText="1"/>
    </xf>
    <xf numFmtId="49" fontId="9" fillId="3" borderId="219" xfId="2" applyNumberFormat="1" applyFont="1" applyFill="1" applyBorder="1" applyAlignment="1">
      <alignment horizontal="center" vertical="center" wrapText="1"/>
    </xf>
    <xf numFmtId="49" fontId="10" fillId="8" borderId="219" xfId="2" applyNumberFormat="1" applyFont="1" applyFill="1" applyBorder="1" applyAlignment="1">
      <alignment horizontal="center" vertical="center" wrapText="1"/>
    </xf>
    <xf numFmtId="0" fontId="0" fillId="2" borderId="221" xfId="0" applyFill="1" applyBorder="1"/>
    <xf numFmtId="0" fontId="0" fillId="2" borderId="223" xfId="0" applyFill="1" applyBorder="1"/>
    <xf numFmtId="0" fontId="0" fillId="2" borderId="224" xfId="0" applyFill="1" applyBorder="1"/>
    <xf numFmtId="49" fontId="44" fillId="5" borderId="221" xfId="2" applyNumberFormat="1" applyFont="1" applyFill="1" applyBorder="1" applyAlignment="1">
      <alignment vertical="center" wrapText="1"/>
    </xf>
    <xf numFmtId="49" fontId="44" fillId="5" borderId="222" xfId="2" applyNumberFormat="1" applyFont="1" applyFill="1" applyBorder="1" applyAlignment="1">
      <alignment vertical="center" wrapText="1"/>
    </xf>
    <xf numFmtId="0" fontId="43" fillId="2" borderId="221" xfId="0" applyFont="1" applyFill="1" applyBorder="1" applyAlignment="1"/>
    <xf numFmtId="0" fontId="43" fillId="2" borderId="222" xfId="0" applyFont="1" applyFill="1" applyBorder="1" applyAlignment="1"/>
    <xf numFmtId="0" fontId="37" fillId="5" borderId="227" xfId="2" applyFont="1" applyFill="1" applyBorder="1" applyAlignment="1">
      <alignment horizontal="center" vertical="center" wrapText="1"/>
    </xf>
    <xf numFmtId="0" fontId="37" fillId="5" borderId="227" xfId="2" applyFont="1" applyFill="1" applyBorder="1" applyAlignment="1">
      <alignment horizontal="left" vertical="center" wrapText="1"/>
    </xf>
    <xf numFmtId="0" fontId="37" fillId="3" borderId="227" xfId="2" applyFont="1" applyFill="1" applyBorder="1" applyAlignment="1" applyProtection="1">
      <alignment horizontal="left" vertical="center" wrapText="1"/>
      <protection locked="0"/>
    </xf>
    <xf numFmtId="0" fontId="54" fillId="3" borderId="227" xfId="0" applyFont="1" applyFill="1" applyBorder="1" applyAlignment="1">
      <alignment horizontal="left" vertical="center" wrapText="1"/>
    </xf>
    <xf numFmtId="0" fontId="54" fillId="3" borderId="227" xfId="2" applyFont="1" applyFill="1" applyBorder="1" applyAlignment="1" applyProtection="1">
      <alignment horizontal="left" vertical="center" wrapText="1"/>
      <protection locked="0"/>
    </xf>
    <xf numFmtId="2" fontId="37" fillId="3" borderId="227" xfId="0" applyNumberFormat="1" applyFont="1" applyFill="1" applyBorder="1" applyAlignment="1">
      <alignment horizontal="left" vertical="center" wrapText="1"/>
    </xf>
    <xf numFmtId="3" fontId="54" fillId="5" borderId="229" xfId="2" applyNumberFormat="1" applyFont="1" applyFill="1" applyBorder="1" applyAlignment="1">
      <alignment horizontal="center" vertical="center" wrapText="1"/>
    </xf>
    <xf numFmtId="3" fontId="54" fillId="5" borderId="222" xfId="2" applyNumberFormat="1" applyFont="1" applyFill="1" applyBorder="1" applyAlignment="1">
      <alignment horizontal="center" vertical="center" wrapText="1"/>
    </xf>
    <xf numFmtId="3" fontId="54" fillId="5" borderId="230" xfId="2" applyNumberFormat="1" applyFont="1" applyFill="1" applyBorder="1" applyAlignment="1">
      <alignment horizontal="center" vertical="center" wrapText="1"/>
    </xf>
    <xf numFmtId="3" fontId="37" fillId="3" borderId="229" xfId="0" applyNumberFormat="1" applyFont="1" applyFill="1" applyBorder="1" applyAlignment="1">
      <alignment horizontal="center" vertical="center"/>
    </xf>
    <xf numFmtId="3" fontId="37" fillId="3" borderId="222" xfId="0" applyNumberFormat="1" applyFont="1" applyFill="1" applyBorder="1" applyAlignment="1">
      <alignment horizontal="center" vertical="center"/>
    </xf>
    <xf numFmtId="3" fontId="37" fillId="3" borderId="230" xfId="0" applyNumberFormat="1" applyFont="1" applyFill="1" applyBorder="1" applyAlignment="1">
      <alignment horizontal="center" vertical="center"/>
    </xf>
    <xf numFmtId="3" fontId="54" fillId="3" borderId="229" xfId="0" applyNumberFormat="1" applyFont="1" applyFill="1" applyBorder="1" applyAlignment="1">
      <alignment horizontal="center"/>
    </xf>
    <xf numFmtId="3" fontId="54" fillId="3" borderId="229" xfId="0" applyNumberFormat="1" applyFont="1" applyFill="1" applyBorder="1" applyAlignment="1">
      <alignment horizontal="center" vertical="center"/>
    </xf>
    <xf numFmtId="3" fontId="54" fillId="3" borderId="222" xfId="0" applyNumberFormat="1" applyFont="1" applyFill="1" applyBorder="1" applyAlignment="1">
      <alignment horizontal="center" vertical="center"/>
    </xf>
    <xf numFmtId="3" fontId="54" fillId="3" borderId="230" xfId="0" applyNumberFormat="1" applyFont="1" applyFill="1" applyBorder="1" applyAlignment="1">
      <alignment horizontal="center" vertical="center"/>
    </xf>
    <xf numFmtId="3" fontId="37" fillId="3" borderId="235" xfId="0" applyNumberFormat="1" applyFont="1" applyFill="1" applyBorder="1" applyAlignment="1">
      <alignment horizontal="center" vertical="center"/>
    </xf>
    <xf numFmtId="3" fontId="24" fillId="0" borderId="0" xfId="2" applyNumberFormat="1" applyFont="1" applyFill="1" applyBorder="1" applyAlignment="1">
      <alignment horizontal="center" vertical="center" wrapText="1"/>
    </xf>
    <xf numFmtId="3" fontId="19" fillId="2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19" fillId="3" borderId="0" xfId="0" applyNumberFormat="1" applyFont="1" applyFill="1" applyBorder="1" applyAlignment="1">
      <alignment horizontal="center" vertical="center" wrapText="1"/>
    </xf>
    <xf numFmtId="3" fontId="24" fillId="3" borderId="0" xfId="0" applyNumberFormat="1" applyFont="1" applyFill="1" applyBorder="1" applyAlignment="1">
      <alignment horizontal="center" vertical="center" wrapText="1"/>
    </xf>
    <xf numFmtId="3" fontId="24" fillId="2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/>
    <xf numFmtId="0" fontId="24" fillId="2" borderId="0" xfId="0" applyFont="1" applyFill="1" applyBorder="1"/>
    <xf numFmtId="3" fontId="4" fillId="3" borderId="222" xfId="0" applyNumberFormat="1" applyFont="1" applyFill="1" applyBorder="1" applyAlignment="1">
      <alignment horizontal="center" vertical="center"/>
    </xf>
    <xf numFmtId="3" fontId="9" fillId="6" borderId="222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222" xfId="2" applyNumberFormat="1" applyFont="1" applyFill="1" applyBorder="1" applyAlignment="1">
      <alignment horizontal="center" vertical="center" wrapText="1"/>
    </xf>
    <xf numFmtId="3" fontId="9" fillId="3" borderId="222" xfId="0" applyNumberFormat="1" applyFont="1" applyFill="1" applyBorder="1" applyAlignment="1">
      <alignment horizontal="center" vertical="center"/>
    </xf>
    <xf numFmtId="3" fontId="9" fillId="3" borderId="230" xfId="0" applyNumberFormat="1" applyFont="1" applyFill="1" applyBorder="1" applyAlignment="1">
      <alignment horizontal="center" vertical="center"/>
    </xf>
    <xf numFmtId="49" fontId="10" fillId="3" borderId="222" xfId="2" applyNumberFormat="1" applyFont="1" applyFill="1" applyBorder="1" applyAlignment="1" applyProtection="1">
      <alignment horizontal="center" vertical="center" wrapText="1"/>
      <protection locked="0"/>
    </xf>
    <xf numFmtId="3" fontId="13" fillId="8" borderId="230" xfId="5" applyNumberFormat="1" applyFont="1" applyFill="1" applyBorder="1" applyAlignment="1">
      <alignment horizontal="center" vertical="center"/>
    </xf>
    <xf numFmtId="3" fontId="10" fillId="3" borderId="222" xfId="0" applyNumberFormat="1" applyFont="1" applyFill="1" applyBorder="1" applyAlignment="1">
      <alignment horizontal="center" vertical="center"/>
    </xf>
    <xf numFmtId="3" fontId="10" fillId="3" borderId="230" xfId="0" applyNumberFormat="1" applyFont="1" applyFill="1" applyBorder="1" applyAlignment="1">
      <alignment horizontal="center" vertical="center"/>
    </xf>
    <xf numFmtId="3" fontId="13" fillId="3" borderId="230" xfId="0" applyNumberFormat="1" applyFont="1" applyFill="1" applyBorder="1" applyAlignment="1">
      <alignment horizontal="center" vertical="center"/>
    </xf>
    <xf numFmtId="3" fontId="10" fillId="3" borderId="237" xfId="0" applyNumberFormat="1" applyFont="1" applyFill="1" applyBorder="1" applyAlignment="1">
      <alignment horizontal="center" vertical="center"/>
    </xf>
    <xf numFmtId="3" fontId="10" fillId="3" borderId="227" xfId="0" applyNumberFormat="1" applyFont="1" applyFill="1" applyBorder="1" applyAlignment="1">
      <alignment horizontal="center" vertical="center"/>
    </xf>
    <xf numFmtId="3" fontId="0" fillId="0" borderId="79" xfId="0" applyNumberFormat="1" applyBorder="1"/>
    <xf numFmtId="49" fontId="37" fillId="5" borderId="221" xfId="2" applyNumberFormat="1" applyFont="1" applyFill="1" applyBorder="1" applyAlignment="1">
      <alignment horizontal="center" vertical="center" textRotation="255" wrapText="1"/>
    </xf>
    <xf numFmtId="49" fontId="37" fillId="5" borderId="222" xfId="2" applyNumberFormat="1" applyFont="1" applyFill="1" applyBorder="1" applyAlignment="1">
      <alignment horizontal="center" vertical="center" textRotation="255" wrapText="1"/>
    </xf>
    <xf numFmtId="3" fontId="54" fillId="5" borderId="235" xfId="2" applyNumberFormat="1" applyFont="1" applyFill="1" applyBorder="1" applyAlignment="1">
      <alignment horizontal="center" vertical="center" wrapText="1"/>
    </xf>
    <xf numFmtId="49" fontId="37" fillId="3" borderId="221" xfId="2" applyNumberFormat="1" applyFont="1" applyFill="1" applyBorder="1" applyAlignment="1">
      <alignment horizontal="center" vertical="center" wrapText="1"/>
    </xf>
    <xf numFmtId="49" fontId="37" fillId="3" borderId="222" xfId="2" applyNumberFormat="1" applyFont="1" applyFill="1" applyBorder="1" applyAlignment="1">
      <alignment horizontal="center" vertical="center" wrapText="1"/>
    </xf>
    <xf numFmtId="49" fontId="37" fillId="3" borderId="222" xfId="2" applyNumberFormat="1" applyFont="1" applyFill="1" applyBorder="1" applyAlignment="1" applyProtection="1">
      <alignment horizontal="center" vertical="center" wrapText="1"/>
      <protection locked="0"/>
    </xf>
    <xf numFmtId="0" fontId="67" fillId="3" borderId="222" xfId="0" applyFont="1" applyFill="1" applyBorder="1"/>
    <xf numFmtId="49" fontId="54" fillId="3" borderId="221" xfId="2" applyNumberFormat="1" applyFont="1" applyFill="1" applyBorder="1" applyAlignment="1">
      <alignment horizontal="center" vertical="center" wrapText="1"/>
    </xf>
    <xf numFmtId="49" fontId="54" fillId="3" borderId="222" xfId="2" applyNumberFormat="1" applyFont="1" applyFill="1" applyBorder="1" applyAlignment="1">
      <alignment horizontal="center" vertical="center" wrapText="1"/>
    </xf>
    <xf numFmtId="49" fontId="54" fillId="3" borderId="222" xfId="2" applyNumberFormat="1" applyFont="1" applyFill="1" applyBorder="1" applyAlignment="1" applyProtection="1">
      <alignment horizontal="center" vertical="center" wrapText="1"/>
      <protection locked="0"/>
    </xf>
    <xf numFmtId="3" fontId="56" fillId="3" borderId="2" xfId="0" applyNumberFormat="1" applyFont="1" applyFill="1" applyBorder="1" applyAlignment="1">
      <alignment horizontal="center" vertical="center"/>
    </xf>
    <xf numFmtId="49" fontId="37" fillId="9" borderId="221" xfId="2" applyNumberFormat="1" applyFont="1" applyFill="1" applyBorder="1" applyAlignment="1">
      <alignment horizontal="center" vertical="center" wrapText="1"/>
    </xf>
    <xf numFmtId="49" fontId="37" fillId="9" borderId="222" xfId="2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0" fontId="59" fillId="2" borderId="7" xfId="0" applyFont="1" applyFill="1" applyBorder="1" applyAlignment="1">
      <alignment horizontal="center" vertical="center" wrapText="1"/>
    </xf>
    <xf numFmtId="49" fontId="60" fillId="2" borderId="8" xfId="0" applyNumberFormat="1" applyFont="1" applyFill="1" applyBorder="1" applyAlignment="1">
      <alignment horizontal="center" vertical="center" wrapText="1"/>
    </xf>
    <xf numFmtId="0" fontId="58" fillId="2" borderId="8" xfId="0" applyFont="1" applyFill="1" applyBorder="1" applyAlignment="1">
      <alignment horizontal="center" vertical="center" wrapText="1"/>
    </xf>
    <xf numFmtId="3" fontId="60" fillId="2" borderId="52" xfId="0" applyNumberFormat="1" applyFont="1" applyFill="1" applyBorder="1" applyAlignment="1">
      <alignment horizontal="center" vertical="center" wrapText="1"/>
    </xf>
    <xf numFmtId="3" fontId="60" fillId="2" borderId="45" xfId="0" applyNumberFormat="1" applyFont="1" applyFill="1" applyBorder="1" applyAlignment="1">
      <alignment horizontal="center" vertical="center" wrapText="1"/>
    </xf>
    <xf numFmtId="3" fontId="60" fillId="2" borderId="44" xfId="0" applyNumberFormat="1" applyFont="1" applyFill="1" applyBorder="1" applyAlignment="1">
      <alignment horizontal="center" vertical="center" wrapText="1"/>
    </xf>
    <xf numFmtId="3" fontId="60" fillId="2" borderId="5" xfId="0" applyNumberFormat="1" applyFont="1" applyFill="1" applyBorder="1" applyAlignment="1">
      <alignment horizontal="center" vertical="center" wrapText="1"/>
    </xf>
    <xf numFmtId="0" fontId="60" fillId="2" borderId="212" xfId="0" applyFont="1" applyFill="1" applyBorder="1" applyAlignment="1">
      <alignment horizontal="center" vertical="center"/>
    </xf>
    <xf numFmtId="49" fontId="60" fillId="2" borderId="151" xfId="0" applyNumberFormat="1" applyFont="1" applyFill="1" applyBorder="1" applyAlignment="1">
      <alignment horizontal="center" vertical="center"/>
    </xf>
    <xf numFmtId="0" fontId="59" fillId="2" borderId="151" xfId="0" applyFont="1" applyFill="1" applyBorder="1" applyAlignment="1">
      <alignment horizontal="center" vertical="center" wrapText="1"/>
    </xf>
    <xf numFmtId="3" fontId="60" fillId="2" borderId="152" xfId="0" applyNumberFormat="1" applyFont="1" applyFill="1" applyBorder="1" applyAlignment="1">
      <alignment horizontal="center" vertical="center" wrapText="1"/>
    </xf>
    <xf numFmtId="3" fontId="60" fillId="2" borderId="128" xfId="0" applyNumberFormat="1" applyFont="1" applyFill="1" applyBorder="1" applyAlignment="1">
      <alignment horizontal="center" vertical="center" wrapText="1"/>
    </xf>
    <xf numFmtId="3" fontId="60" fillId="2" borderId="211" xfId="0" applyNumberFormat="1" applyFont="1" applyFill="1" applyBorder="1" applyAlignment="1">
      <alignment horizontal="center" vertical="center" wrapText="1"/>
    </xf>
    <xf numFmtId="3" fontId="60" fillId="2" borderId="199" xfId="0" applyNumberFormat="1" applyFont="1" applyFill="1" applyBorder="1" applyAlignment="1">
      <alignment horizontal="center" vertical="center" wrapText="1"/>
    </xf>
    <xf numFmtId="0" fontId="60" fillId="2" borderId="151" xfId="0" applyFont="1" applyFill="1" applyBorder="1" applyAlignment="1">
      <alignment horizontal="center" vertical="center" wrapText="1"/>
    </xf>
    <xf numFmtId="3" fontId="60" fillId="2" borderId="199" xfId="0" applyNumberFormat="1" applyFont="1" applyFill="1" applyBorder="1" applyAlignment="1">
      <alignment horizontal="center" vertical="center"/>
    </xf>
    <xf numFmtId="0" fontId="59" fillId="2" borderId="212" xfId="0" applyFont="1" applyFill="1" applyBorder="1" applyAlignment="1">
      <alignment horizontal="center" vertical="center"/>
    </xf>
    <xf numFmtId="0" fontId="58" fillId="2" borderId="151" xfId="0" applyFont="1" applyFill="1" applyBorder="1" applyAlignment="1">
      <alignment horizontal="center" vertical="center" wrapText="1"/>
    </xf>
    <xf numFmtId="3" fontId="60" fillId="2" borderId="152" xfId="0" applyNumberFormat="1" applyFont="1" applyFill="1" applyBorder="1" applyAlignment="1">
      <alignment horizontal="left" vertical="center" wrapText="1"/>
    </xf>
    <xf numFmtId="0" fontId="59" fillId="3" borderId="212" xfId="0" applyFont="1" applyFill="1" applyBorder="1" applyAlignment="1">
      <alignment horizontal="center" vertical="center"/>
    </xf>
    <xf numFmtId="49" fontId="59" fillId="3" borderId="151" xfId="0" applyNumberFormat="1" applyFont="1" applyFill="1" applyBorder="1" applyAlignment="1">
      <alignment horizontal="center" vertical="center"/>
    </xf>
    <xf numFmtId="0" fontId="59" fillId="3" borderId="151" xfId="0" applyFont="1" applyFill="1" applyBorder="1" applyAlignment="1">
      <alignment horizontal="left" vertical="center" wrapText="1"/>
    </xf>
    <xf numFmtId="3" fontId="59" fillId="3" borderId="152" xfId="0" applyNumberFormat="1" applyFont="1" applyFill="1" applyBorder="1" applyAlignment="1">
      <alignment horizontal="left" vertical="center" wrapText="1"/>
    </xf>
    <xf numFmtId="3" fontId="59" fillId="3" borderId="128" xfId="0" applyNumberFormat="1" applyFont="1" applyFill="1" applyBorder="1" applyAlignment="1">
      <alignment horizontal="center" vertical="center"/>
    </xf>
    <xf numFmtId="3" fontId="59" fillId="3" borderId="211" xfId="0" applyNumberFormat="1" applyFont="1" applyFill="1" applyBorder="1" applyAlignment="1">
      <alignment horizontal="center" vertical="center"/>
    </xf>
    <xf numFmtId="3" fontId="59" fillId="3" borderId="199" xfId="0" applyNumberFormat="1" applyFont="1" applyFill="1" applyBorder="1" applyAlignment="1">
      <alignment horizontal="center" vertical="center"/>
    </xf>
    <xf numFmtId="1" fontId="59" fillId="3" borderId="151" xfId="0" applyNumberFormat="1" applyFont="1" applyFill="1" applyBorder="1" applyAlignment="1">
      <alignment horizontal="center" vertical="center"/>
    </xf>
    <xf numFmtId="3" fontId="46" fillId="3" borderId="152" xfId="0" applyNumberFormat="1" applyFont="1" applyFill="1" applyBorder="1" applyAlignment="1">
      <alignment horizontal="left" vertical="center" wrapText="1"/>
    </xf>
    <xf numFmtId="3" fontId="46" fillId="3" borderId="211" xfId="0" applyNumberFormat="1" applyFont="1" applyFill="1" applyBorder="1" applyAlignment="1">
      <alignment horizontal="center" vertical="center" wrapText="1"/>
    </xf>
    <xf numFmtId="3" fontId="59" fillId="3" borderId="128" xfId="0" applyNumberFormat="1" applyFont="1" applyFill="1" applyBorder="1" applyAlignment="1">
      <alignment horizontal="center" vertical="center" wrapText="1"/>
    </xf>
    <xf numFmtId="3" fontId="59" fillId="3" borderId="211" xfId="0" applyNumberFormat="1" applyFont="1" applyFill="1" applyBorder="1" applyAlignment="1">
      <alignment horizontal="center" vertical="center" wrapText="1"/>
    </xf>
    <xf numFmtId="49" fontId="60" fillId="3" borderId="151" xfId="0" applyNumberFormat="1" applyFont="1" applyFill="1" applyBorder="1" applyAlignment="1">
      <alignment horizontal="center" vertical="center"/>
    </xf>
    <xf numFmtId="0" fontId="60" fillId="3" borderId="151" xfId="0" applyFont="1" applyFill="1" applyBorder="1" applyAlignment="1">
      <alignment horizontal="left" vertical="center" wrapText="1"/>
    </xf>
    <xf numFmtId="3" fontId="47" fillId="3" borderId="152" xfId="0" applyNumberFormat="1" applyFont="1" applyFill="1" applyBorder="1" applyAlignment="1">
      <alignment horizontal="left" vertical="center" wrapText="1"/>
    </xf>
    <xf numFmtId="3" fontId="47" fillId="3" borderId="128" xfId="0" applyNumberFormat="1" applyFont="1" applyFill="1" applyBorder="1" applyAlignment="1">
      <alignment horizontal="center" vertical="center" wrapText="1"/>
    </xf>
    <xf numFmtId="3" fontId="47" fillId="3" borderId="211" xfId="0" applyNumberFormat="1" applyFont="1" applyFill="1" applyBorder="1" applyAlignment="1">
      <alignment horizontal="center" vertical="center" wrapText="1"/>
    </xf>
    <xf numFmtId="3" fontId="60" fillId="3" borderId="128" xfId="0" applyNumberFormat="1" applyFont="1" applyFill="1" applyBorder="1" applyAlignment="1">
      <alignment horizontal="center" vertical="center" wrapText="1"/>
    </xf>
    <xf numFmtId="3" fontId="60" fillId="3" borderId="211" xfId="0" applyNumberFormat="1" applyFont="1" applyFill="1" applyBorder="1" applyAlignment="1">
      <alignment horizontal="center" vertical="center" wrapText="1"/>
    </xf>
    <xf numFmtId="3" fontId="60" fillId="3" borderId="199" xfId="0" applyNumberFormat="1" applyFont="1" applyFill="1" applyBorder="1" applyAlignment="1">
      <alignment horizontal="center" vertical="center"/>
    </xf>
    <xf numFmtId="49" fontId="46" fillId="3" borderId="151" xfId="0" applyNumberFormat="1" applyFont="1" applyFill="1" applyBorder="1" applyAlignment="1">
      <alignment horizontal="center" vertical="center" wrapText="1"/>
    </xf>
    <xf numFmtId="0" fontId="46" fillId="3" borderId="151" xfId="0" applyFont="1" applyFill="1" applyBorder="1" applyAlignment="1">
      <alignment horizontal="left" vertical="center" wrapText="1"/>
    </xf>
    <xf numFmtId="0" fontId="62" fillId="0" borderId="128" xfId="0" applyFont="1" applyBorder="1"/>
    <xf numFmtId="0" fontId="59" fillId="3" borderId="213" xfId="0" applyFont="1" applyFill="1" applyBorder="1" applyAlignment="1">
      <alignment horizontal="center" vertical="center"/>
    </xf>
    <xf numFmtId="49" fontId="46" fillId="3" borderId="214" xfId="0" applyNumberFormat="1" applyFont="1" applyFill="1" applyBorder="1" applyAlignment="1">
      <alignment horizontal="center" vertical="center" wrapText="1"/>
    </xf>
    <xf numFmtId="3" fontId="59" fillId="3" borderId="149" xfId="0" applyNumberFormat="1" applyFont="1" applyFill="1" applyBorder="1" applyAlignment="1">
      <alignment horizontal="center" vertical="center"/>
    </xf>
    <xf numFmtId="0" fontId="61" fillId="0" borderId="0" xfId="0" applyFont="1" applyBorder="1"/>
    <xf numFmtId="0" fontId="23" fillId="0" borderId="221" xfId="9" applyFont="1" applyBorder="1" applyAlignment="1">
      <alignment horizontal="center"/>
    </xf>
    <xf numFmtId="0" fontId="23" fillId="0" borderId="222" xfId="9" applyFont="1" applyBorder="1" applyAlignment="1">
      <alignment horizontal="center"/>
    </xf>
    <xf numFmtId="3" fontId="9" fillId="2" borderId="0" xfId="0" applyNumberFormat="1" applyFont="1" applyFill="1" applyBorder="1" applyAlignment="1">
      <alignment horizontal="center" textRotation="255" wrapText="1"/>
    </xf>
    <xf numFmtId="1" fontId="0" fillId="2" borderId="0" xfId="0" applyNumberFormat="1" applyFill="1" applyBorder="1"/>
    <xf numFmtId="1" fontId="0" fillId="3" borderId="0" xfId="0" applyNumberFormat="1" applyFill="1" applyBorder="1"/>
    <xf numFmtId="0" fontId="0" fillId="2" borderId="0" xfId="0" applyFill="1" applyBorder="1"/>
    <xf numFmtId="3" fontId="9" fillId="6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/>
    </xf>
    <xf numFmtId="3" fontId="27" fillId="3" borderId="2" xfId="0" applyNumberFormat="1" applyFont="1" applyFill="1" applyBorder="1" applyAlignment="1">
      <alignment horizontal="center" vertical="center"/>
    </xf>
    <xf numFmtId="3" fontId="13" fillId="8" borderId="2" xfId="5" applyNumberFormat="1" applyFont="1" applyFill="1" applyBorder="1" applyAlignment="1">
      <alignment horizontal="center" vertical="center"/>
    </xf>
    <xf numFmtId="3" fontId="9" fillId="8" borderId="2" xfId="6" applyNumberFormat="1" applyFont="1" applyFill="1" applyBorder="1" applyAlignment="1">
      <alignment horizontal="center" vertical="center"/>
    </xf>
    <xf numFmtId="3" fontId="9" fillId="15" borderId="2" xfId="6" applyNumberFormat="1" applyFont="1" applyFill="1" applyBorder="1" applyAlignment="1">
      <alignment horizontal="center" vertical="center"/>
    </xf>
    <xf numFmtId="0" fontId="30" fillId="3" borderId="2" xfId="0" applyFont="1" applyFill="1" applyBorder="1"/>
    <xf numFmtId="3" fontId="9" fillId="2" borderId="220" xfId="0" applyNumberFormat="1" applyFont="1" applyFill="1" applyBorder="1" applyAlignment="1">
      <alignment horizontal="center" vertical="center"/>
    </xf>
    <xf numFmtId="0" fontId="7" fillId="0" borderId="222" xfId="9" applyFont="1" applyBorder="1" applyAlignment="1">
      <alignment horizontal="center"/>
    </xf>
    <xf numFmtId="0" fontId="68" fillId="0" borderId="0" xfId="0" applyFont="1" applyFill="1"/>
    <xf numFmtId="3" fontId="12" fillId="30" borderId="0" xfId="2" applyNumberFormat="1" applyFont="1" applyFill="1" applyBorder="1" applyAlignment="1">
      <alignment horizontal="center" vertical="center" wrapText="1"/>
    </xf>
    <xf numFmtId="3" fontId="55" fillId="2" borderId="229" xfId="0" applyNumberFormat="1" applyFont="1" applyFill="1" applyBorder="1" applyAlignment="1">
      <alignment horizontal="center" vertical="center"/>
    </xf>
    <xf numFmtId="3" fontId="55" fillId="2" borderId="222" xfId="0" applyNumberFormat="1" applyFont="1" applyFill="1" applyBorder="1" applyAlignment="1">
      <alignment horizontal="center" vertical="center"/>
    </xf>
    <xf numFmtId="3" fontId="55" fillId="2" borderId="230" xfId="0" applyNumberFormat="1" applyFont="1" applyFill="1" applyBorder="1" applyAlignment="1">
      <alignment horizontal="center" vertical="center"/>
    </xf>
    <xf numFmtId="3" fontId="55" fillId="2" borderId="2" xfId="0" applyNumberFormat="1" applyFont="1" applyFill="1" applyBorder="1" applyAlignment="1">
      <alignment horizontal="center" vertical="center"/>
    </xf>
    <xf numFmtId="0" fontId="55" fillId="2" borderId="229" xfId="0" applyFont="1" applyFill="1" applyBorder="1" applyAlignment="1">
      <alignment horizontal="center" vertical="center"/>
    </xf>
    <xf numFmtId="3" fontId="55" fillId="2" borderId="231" xfId="0" applyNumberFormat="1" applyFont="1" applyFill="1" applyBorder="1" applyAlignment="1">
      <alignment horizontal="center" vertical="center"/>
    </xf>
    <xf numFmtId="3" fontId="55" fillId="2" borderId="224" xfId="0" applyNumberFormat="1" applyFont="1" applyFill="1" applyBorder="1" applyAlignment="1">
      <alignment horizontal="center" vertical="center"/>
    </xf>
    <xf numFmtId="3" fontId="55" fillId="2" borderId="232" xfId="0" applyNumberFormat="1" applyFont="1" applyFill="1" applyBorder="1" applyAlignment="1">
      <alignment horizontal="center" vertical="center"/>
    </xf>
    <xf numFmtId="3" fontId="55" fillId="2" borderId="220" xfId="0" applyNumberFormat="1" applyFont="1" applyFill="1" applyBorder="1" applyAlignment="1">
      <alignment horizontal="center" vertical="center"/>
    </xf>
    <xf numFmtId="3" fontId="10" fillId="5" borderId="222" xfId="2" applyNumberFormat="1" applyFont="1" applyFill="1" applyBorder="1" applyAlignment="1">
      <alignment horizontal="center" vertical="center" wrapText="1"/>
    </xf>
    <xf numFmtId="3" fontId="13" fillId="3" borderId="222" xfId="0" applyNumberFormat="1" applyFont="1" applyFill="1" applyBorder="1" applyAlignment="1">
      <alignment horizontal="center" vertical="center"/>
    </xf>
    <xf numFmtId="3" fontId="25" fillId="0" borderId="235" xfId="0" applyNumberFormat="1" applyFont="1" applyBorder="1" applyAlignment="1">
      <alignment horizontal="center" vertical="center"/>
    </xf>
    <xf numFmtId="3" fontId="9" fillId="3" borderId="227" xfId="0" applyNumberFormat="1" applyFont="1" applyFill="1" applyBorder="1" applyAlignment="1">
      <alignment horizontal="center" vertical="center"/>
    </xf>
    <xf numFmtId="3" fontId="24" fillId="2" borderId="0" xfId="0" applyNumberFormat="1" applyFont="1" applyFill="1" applyBorder="1"/>
    <xf numFmtId="0" fontId="69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49" fontId="37" fillId="5" borderId="65" xfId="2" applyNumberFormat="1" applyFont="1" applyFill="1" applyBorder="1" applyAlignment="1">
      <alignment horizontal="center" vertical="center" textRotation="255" wrapText="1"/>
    </xf>
    <xf numFmtId="49" fontId="37" fillId="5" borderId="55" xfId="2" applyNumberFormat="1" applyFont="1" applyFill="1" applyBorder="1" applyAlignment="1">
      <alignment horizontal="center" vertical="center" textRotation="255" wrapText="1"/>
    </xf>
    <xf numFmtId="0" fontId="37" fillId="5" borderId="132" xfId="2" applyFont="1" applyFill="1" applyBorder="1" applyAlignment="1">
      <alignment horizontal="center" vertical="center" wrapText="1"/>
    </xf>
    <xf numFmtId="3" fontId="19" fillId="2" borderId="0" xfId="0" applyNumberFormat="1" applyFont="1" applyFill="1" applyBorder="1" applyAlignment="1">
      <alignment horizontal="center" vertical="center" textRotation="255" wrapText="1"/>
    </xf>
    <xf numFmtId="0" fontId="23" fillId="2" borderId="0" xfId="0" applyFont="1" applyFill="1" applyBorder="1" applyAlignment="1">
      <alignment horizontal="center" vertical="center"/>
    </xf>
    <xf numFmtId="3" fontId="25" fillId="2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110" fillId="0" borderId="0" xfId="0" applyFont="1"/>
    <xf numFmtId="3" fontId="110" fillId="0" borderId="0" xfId="0" applyNumberFormat="1" applyFont="1"/>
    <xf numFmtId="0" fontId="111" fillId="0" borderId="0" xfId="0" applyFont="1"/>
    <xf numFmtId="0" fontId="111" fillId="3" borderId="0" xfId="0" applyFont="1" applyFill="1"/>
    <xf numFmtId="0" fontId="112" fillId="29" borderId="0" xfId="0" applyFont="1" applyFill="1"/>
    <xf numFmtId="0" fontId="112" fillId="3" borderId="0" xfId="0" applyFont="1" applyFill="1"/>
    <xf numFmtId="0" fontId="113" fillId="0" borderId="0" xfId="0" applyFont="1"/>
    <xf numFmtId="3" fontId="113" fillId="3" borderId="0" xfId="0" applyNumberFormat="1" applyFont="1" applyFill="1"/>
    <xf numFmtId="0" fontId="113" fillId="3" borderId="0" xfId="0" applyFont="1" applyFill="1"/>
    <xf numFmtId="0" fontId="114" fillId="29" borderId="0" xfId="0" applyFont="1" applyFill="1"/>
    <xf numFmtId="3" fontId="114" fillId="29" borderId="0" xfId="0" applyNumberFormat="1" applyFont="1" applyFill="1"/>
    <xf numFmtId="0" fontId="114" fillId="3" borderId="0" xfId="0" applyFont="1" applyFill="1"/>
    <xf numFmtId="3" fontId="114" fillId="3" borderId="0" xfId="0" applyNumberFormat="1" applyFont="1" applyFill="1"/>
    <xf numFmtId="0" fontId="61" fillId="3" borderId="0" xfId="0" applyFont="1" applyFill="1"/>
    <xf numFmtId="0" fontId="61" fillId="0" borderId="151" xfId="0" applyFont="1" applyBorder="1" applyAlignment="1">
      <alignment vertical="center"/>
    </xf>
    <xf numFmtId="0" fontId="61" fillId="0" borderId="151" xfId="0" applyFont="1" applyBorder="1" applyAlignment="1">
      <alignment vertical="center" wrapText="1"/>
    </xf>
    <xf numFmtId="0" fontId="59" fillId="3" borderId="151" xfId="0" applyFont="1" applyFill="1" applyBorder="1" applyAlignment="1">
      <alignment vertical="center"/>
    </xf>
    <xf numFmtId="0" fontId="46" fillId="3" borderId="224" xfId="0" applyFont="1" applyFill="1" applyBorder="1" applyAlignment="1">
      <alignment horizontal="left" vertical="center" wrapText="1"/>
    </xf>
    <xf numFmtId="3" fontId="46" fillId="3" borderId="228" xfId="0" applyNumberFormat="1" applyFont="1" applyFill="1" applyBorder="1" applyAlignment="1">
      <alignment horizontal="left" vertical="center" wrapText="1"/>
    </xf>
    <xf numFmtId="0" fontId="62" fillId="0" borderId="231" xfId="0" applyFont="1" applyBorder="1"/>
    <xf numFmtId="3" fontId="46" fillId="3" borderId="232" xfId="0" applyNumberFormat="1" applyFont="1" applyFill="1" applyBorder="1" applyAlignment="1">
      <alignment horizontal="center" vertical="center" wrapText="1"/>
    </xf>
    <xf numFmtId="0" fontId="32" fillId="20" borderId="52" xfId="9" applyFont="1" applyFill="1" applyBorder="1" applyAlignment="1">
      <alignment horizontal="center" vertical="center"/>
    </xf>
    <xf numFmtId="0" fontId="32" fillId="0" borderId="227" xfId="9" applyFont="1" applyBorder="1" applyAlignment="1">
      <alignment vertical="justify"/>
    </xf>
    <xf numFmtId="0" fontId="31" fillId="0" borderId="227" xfId="9" applyFont="1" applyBorder="1" applyAlignment="1">
      <alignment vertical="justify"/>
    </xf>
    <xf numFmtId="0" fontId="5" fillId="0" borderId="227" xfId="9" applyFont="1" applyBorder="1" applyAlignment="1">
      <alignment vertical="justify"/>
    </xf>
    <xf numFmtId="0" fontId="32" fillId="0" borderId="227" xfId="9" applyFont="1" applyFill="1" applyBorder="1" applyAlignment="1">
      <alignment vertical="justify"/>
    </xf>
    <xf numFmtId="0" fontId="32" fillId="0" borderId="228" xfId="9" applyFont="1" applyFill="1" applyBorder="1" applyAlignment="1">
      <alignment vertical="justify"/>
    </xf>
    <xf numFmtId="0" fontId="32" fillId="20" borderId="188" xfId="9" applyFont="1" applyFill="1" applyBorder="1" applyAlignment="1">
      <alignment horizontal="center" vertical="center" wrapText="1"/>
    </xf>
    <xf numFmtId="49" fontId="24" fillId="4" borderId="221" xfId="2" applyNumberFormat="1" applyFont="1" applyFill="1" applyBorder="1" applyAlignment="1">
      <alignment horizontal="center" vertical="center" wrapText="1"/>
    </xf>
    <xf numFmtId="49" fontId="24" fillId="4" borderId="222" xfId="1" applyNumberFormat="1" applyFont="1" applyFill="1" applyBorder="1" applyAlignment="1" applyProtection="1">
      <alignment horizontal="center" vertical="center" wrapText="1"/>
      <protection locked="0"/>
    </xf>
    <xf numFmtId="0" fontId="24" fillId="4" borderId="227" xfId="1" applyFont="1" applyFill="1" applyBorder="1" applyAlignment="1" applyProtection="1">
      <alignment horizontal="left" vertical="center" wrapText="1"/>
      <protection locked="0"/>
    </xf>
    <xf numFmtId="3" fontId="24" fillId="0" borderId="229" xfId="0" applyNumberFormat="1" applyFont="1" applyBorder="1" applyAlignment="1">
      <alignment horizontal="center" vertical="center"/>
    </xf>
    <xf numFmtId="3" fontId="24" fillId="0" borderId="230" xfId="0" applyNumberFormat="1" applyFont="1" applyBorder="1" applyAlignment="1">
      <alignment horizontal="center" vertical="center"/>
    </xf>
    <xf numFmtId="0" fontId="54" fillId="3" borderId="125" xfId="0" applyFont="1" applyFill="1" applyBorder="1" applyAlignment="1">
      <alignment horizontal="left" wrapText="1"/>
    </xf>
    <xf numFmtId="3" fontId="67" fillId="3" borderId="153" xfId="0" applyNumberFormat="1" applyFont="1" applyFill="1" applyBorder="1" applyAlignment="1">
      <alignment horizontal="center" vertical="center"/>
    </xf>
    <xf numFmtId="49" fontId="47" fillId="3" borderId="151" xfId="0" applyNumberFormat="1" applyFont="1" applyFill="1" applyBorder="1" applyAlignment="1">
      <alignment horizontal="center" vertical="center"/>
    </xf>
    <xf numFmtId="0" fontId="47" fillId="3" borderId="151" xfId="0" applyFont="1" applyFill="1" applyBorder="1" applyAlignment="1">
      <alignment horizontal="left" vertical="center" wrapText="1"/>
    </xf>
    <xf numFmtId="3" fontId="47" fillId="3" borderId="19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0" fillId="0" borderId="240" xfId="0" applyNumberFormat="1" applyFont="1" applyFill="1" applyBorder="1" applyAlignment="1" applyProtection="1">
      <alignment horizontal="left" vertical="top" wrapText="1"/>
    </xf>
    <xf numFmtId="3" fontId="9" fillId="26" borderId="222" xfId="0" applyNumberFormat="1" applyFont="1" applyFill="1" applyBorder="1" applyAlignment="1">
      <alignment horizontal="center" vertical="center"/>
    </xf>
    <xf numFmtId="3" fontId="10" fillId="8" borderId="222" xfId="5" applyNumberFormat="1" applyFont="1" applyFill="1" applyBorder="1" applyAlignment="1">
      <alignment horizontal="center" vertical="center"/>
    </xf>
    <xf numFmtId="3" fontId="9" fillId="3" borderId="222" xfId="10" applyNumberFormat="1" applyFont="1" applyFill="1" applyBorder="1" applyAlignment="1">
      <alignment horizontal="center" vertical="center"/>
    </xf>
    <xf numFmtId="3" fontId="10" fillId="3" borderId="222" xfId="10" applyNumberFormat="1" applyFont="1" applyFill="1" applyBorder="1" applyAlignment="1">
      <alignment horizontal="center" vertical="center"/>
    </xf>
    <xf numFmtId="3" fontId="4" fillId="3" borderId="222" xfId="0" applyNumberFormat="1" applyFont="1" applyFill="1" applyBorder="1"/>
    <xf numFmtId="3" fontId="7" fillId="3" borderId="222" xfId="0" applyNumberFormat="1" applyFont="1" applyFill="1" applyBorder="1"/>
    <xf numFmtId="3" fontId="13" fillId="3" borderId="222" xfId="0" applyNumberFormat="1" applyFont="1" applyFill="1" applyBorder="1" applyAlignment="1" applyProtection="1">
      <alignment horizontal="center" vertical="center" wrapText="1"/>
    </xf>
    <xf numFmtId="3" fontId="7" fillId="12" borderId="222" xfId="0" applyNumberFormat="1" applyFont="1" applyFill="1" applyBorder="1"/>
    <xf numFmtId="3" fontId="7" fillId="2" borderId="222" xfId="0" applyNumberFormat="1" applyFont="1" applyFill="1" applyBorder="1"/>
    <xf numFmtId="3" fontId="9" fillId="12" borderId="222" xfId="10" applyNumberFormat="1" applyFont="1" applyFill="1" applyBorder="1" applyAlignment="1">
      <alignment horizontal="center" vertical="center"/>
    </xf>
    <xf numFmtId="3" fontId="9" fillId="31" borderId="222" xfId="10" applyNumberFormat="1" applyFont="1" applyFill="1" applyBorder="1" applyAlignment="1">
      <alignment horizontal="center" vertical="center"/>
    </xf>
    <xf numFmtId="0" fontId="9" fillId="5" borderId="240" xfId="2" applyFont="1" applyFill="1" applyBorder="1" applyAlignment="1">
      <alignment horizontal="center" vertical="center" wrapText="1"/>
    </xf>
    <xf numFmtId="0" fontId="9" fillId="24" borderId="240" xfId="2" applyFont="1" applyFill="1" applyBorder="1" applyAlignment="1" applyProtection="1">
      <alignment horizontal="left" vertical="center" wrapText="1"/>
      <protection locked="0"/>
    </xf>
    <xf numFmtId="3" fontId="9" fillId="12" borderId="241" xfId="10" applyNumberFormat="1" applyFont="1" applyFill="1" applyBorder="1" applyAlignment="1">
      <alignment horizontal="center" vertical="center"/>
    </xf>
    <xf numFmtId="0" fontId="10" fillId="8" borderId="240" xfId="2" applyFont="1" applyFill="1" applyBorder="1" applyAlignment="1" applyProtection="1">
      <alignment horizontal="left" vertical="center" wrapText="1"/>
      <protection locked="0"/>
    </xf>
    <xf numFmtId="3" fontId="10" fillId="3" borderId="241" xfId="10" applyNumberFormat="1" applyFont="1" applyFill="1" applyBorder="1" applyAlignment="1">
      <alignment horizontal="center" vertical="center"/>
    </xf>
    <xf numFmtId="0" fontId="10" fillId="32" borderId="240" xfId="2" applyFont="1" applyFill="1" applyBorder="1" applyAlignment="1" applyProtection="1">
      <alignment horizontal="left" vertical="center" wrapText="1"/>
      <protection locked="0"/>
    </xf>
    <xf numFmtId="3" fontId="9" fillId="31" borderId="241" xfId="10" applyNumberFormat="1" applyFont="1" applyFill="1" applyBorder="1" applyAlignment="1">
      <alignment horizontal="center" vertical="center"/>
    </xf>
    <xf numFmtId="0" fontId="7" fillId="12" borderId="240" xfId="0" applyFont="1" applyFill="1" applyBorder="1" applyAlignment="1">
      <alignment wrapText="1"/>
    </xf>
    <xf numFmtId="3" fontId="7" fillId="12" borderId="241" xfId="0" applyNumberFormat="1" applyFont="1" applyFill="1" applyBorder="1"/>
    <xf numFmtId="0" fontId="7" fillId="2" borderId="240" xfId="0" applyFont="1" applyFill="1" applyBorder="1" applyAlignment="1">
      <alignment wrapText="1"/>
    </xf>
    <xf numFmtId="3" fontId="7" fillId="2" borderId="241" xfId="0" applyNumberFormat="1" applyFont="1" applyFill="1" applyBorder="1"/>
    <xf numFmtId="0" fontId="10" fillId="3" borderId="240" xfId="2" applyFont="1" applyFill="1" applyBorder="1" applyAlignment="1">
      <alignment horizontal="left" vertical="center" wrapText="1"/>
    </xf>
    <xf numFmtId="3" fontId="4" fillId="3" borderId="241" xfId="0" applyNumberFormat="1" applyFont="1" applyFill="1" applyBorder="1"/>
    <xf numFmtId="0" fontId="10" fillId="8" borderId="240" xfId="2" applyFont="1" applyFill="1" applyBorder="1" applyAlignment="1">
      <alignment horizontal="left" vertical="center" wrapText="1"/>
    </xf>
    <xf numFmtId="0" fontId="4" fillId="0" borderId="240" xfId="0" applyFont="1" applyBorder="1" applyAlignment="1">
      <alignment wrapText="1"/>
    </xf>
    <xf numFmtId="3" fontId="4" fillId="0" borderId="241" xfId="0" applyNumberFormat="1" applyFont="1" applyBorder="1"/>
    <xf numFmtId="0" fontId="4" fillId="12" borderId="240" xfId="0" applyFont="1" applyFill="1" applyBorder="1" applyAlignment="1">
      <alignment wrapText="1"/>
    </xf>
    <xf numFmtId="0" fontId="10" fillId="3" borderId="240" xfId="1" applyNumberFormat="1" applyFont="1" applyFill="1" applyBorder="1" applyAlignment="1" applyProtection="1">
      <alignment horizontal="left" vertical="center" wrapText="1"/>
      <protection locked="0"/>
    </xf>
    <xf numFmtId="0" fontId="7" fillId="0" borderId="223" xfId="0" applyFont="1" applyBorder="1" applyAlignment="1">
      <alignment wrapText="1"/>
    </xf>
    <xf numFmtId="3" fontId="9" fillId="2" borderId="241" xfId="0" applyNumberFormat="1" applyFont="1" applyFill="1" applyBorder="1" applyAlignment="1">
      <alignment horizontal="center" vertical="center"/>
    </xf>
    <xf numFmtId="3" fontId="10" fillId="5" borderId="241" xfId="2" applyNumberFormat="1" applyFont="1" applyFill="1" applyBorder="1" applyAlignment="1">
      <alignment horizontal="center" vertical="center" wrapText="1"/>
    </xf>
    <xf numFmtId="3" fontId="7" fillId="0" borderId="224" xfId="0" applyNumberFormat="1" applyFont="1" applyBorder="1"/>
    <xf numFmtId="0" fontId="9" fillId="5" borderId="7" xfId="2" applyFont="1" applyFill="1" applyBorder="1" applyAlignment="1">
      <alignment vertical="center" wrapText="1"/>
    </xf>
    <xf numFmtId="2" fontId="19" fillId="3" borderId="227" xfId="0" applyNumberFormat="1" applyFont="1" applyFill="1" applyBorder="1" applyAlignment="1">
      <alignment horizontal="left" vertical="center" wrapText="1"/>
    </xf>
    <xf numFmtId="4" fontId="10" fillId="0" borderId="222" xfId="0" applyNumberFormat="1" applyFont="1" applyFill="1" applyBorder="1" applyAlignment="1" applyProtection="1">
      <alignment horizontal="center" vertical="center" wrapText="1"/>
    </xf>
    <xf numFmtId="0" fontId="7" fillId="3" borderId="240" xfId="0" applyFont="1" applyFill="1" applyBorder="1" applyAlignment="1">
      <alignment wrapText="1"/>
    </xf>
    <xf numFmtId="3" fontId="7" fillId="3" borderId="241" xfId="0" applyNumberFormat="1" applyFont="1" applyFill="1" applyBorder="1"/>
    <xf numFmtId="0" fontId="10" fillId="3" borderId="240" xfId="0" applyNumberFormat="1" applyFont="1" applyFill="1" applyBorder="1" applyAlignment="1" applyProtection="1">
      <alignment horizontal="left" vertical="top" wrapText="1"/>
    </xf>
    <xf numFmtId="4" fontId="10" fillId="3" borderId="222" xfId="0" applyNumberFormat="1" applyFont="1" applyFill="1" applyBorder="1" applyAlignment="1" applyProtection="1">
      <alignment horizontal="center" vertical="center" wrapText="1"/>
    </xf>
    <xf numFmtId="0" fontId="4" fillId="0" borderId="236" xfId="0" applyFont="1" applyBorder="1" applyAlignment="1">
      <alignment wrapText="1"/>
    </xf>
    <xf numFmtId="3" fontId="4" fillId="0" borderId="181" xfId="0" applyNumberFormat="1" applyFont="1" applyBorder="1"/>
    <xf numFmtId="0" fontId="24" fillId="3" borderId="227" xfId="0" applyFont="1" applyFill="1" applyBorder="1" applyAlignment="1">
      <alignment horizontal="left" vertical="center" wrapText="1"/>
    </xf>
    <xf numFmtId="0" fontId="7" fillId="2" borderId="236" xfId="0" applyFont="1" applyFill="1" applyBorder="1" applyAlignment="1">
      <alignment wrapText="1"/>
    </xf>
    <xf numFmtId="3" fontId="9" fillId="2" borderId="237" xfId="0" applyNumberFormat="1" applyFont="1" applyFill="1" applyBorder="1" applyAlignment="1">
      <alignment horizontal="center" vertical="center"/>
    </xf>
    <xf numFmtId="0" fontId="9" fillId="3" borderId="240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left" vertical="top" wrapText="1"/>
    </xf>
    <xf numFmtId="4" fontId="10" fillId="0" borderId="0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Border="1"/>
    <xf numFmtId="3" fontId="118" fillId="2" borderId="8" xfId="0" applyNumberFormat="1" applyFont="1" applyFill="1" applyBorder="1" applyAlignment="1">
      <alignment vertical="center" wrapText="1"/>
    </xf>
    <xf numFmtId="3" fontId="118" fillId="2" borderId="52" xfId="0" applyNumberFormat="1" applyFont="1" applyFill="1" applyBorder="1" applyAlignment="1">
      <alignment vertical="center" wrapText="1"/>
    </xf>
    <xf numFmtId="0" fontId="121" fillId="0" borderId="0" xfId="0" applyFont="1"/>
    <xf numFmtId="0" fontId="55" fillId="0" borderId="125" xfId="0" applyFont="1" applyBorder="1" applyAlignment="1">
      <alignment horizontal="left" vertical="center" wrapText="1"/>
    </xf>
    <xf numFmtId="3" fontId="55" fillId="0" borderId="153" xfId="0" applyNumberFormat="1" applyFont="1" applyBorder="1" applyAlignment="1">
      <alignment horizontal="center" vertical="center"/>
    </xf>
    <xf numFmtId="3" fontId="37" fillId="3" borderId="173" xfId="0" applyNumberFormat="1" applyFont="1" applyFill="1" applyBorder="1" applyAlignment="1">
      <alignment horizontal="center" vertical="center" wrapText="1"/>
    </xf>
    <xf numFmtId="3" fontId="37" fillId="2" borderId="0" xfId="0" applyNumberFormat="1" applyFont="1" applyFill="1" applyBorder="1" applyAlignment="1">
      <alignment horizontal="center" vertical="center" textRotation="255" wrapText="1"/>
    </xf>
    <xf numFmtId="3" fontId="54" fillId="5" borderId="0" xfId="2" applyNumberFormat="1" applyFont="1" applyFill="1" applyBorder="1" applyAlignment="1">
      <alignment horizontal="center" vertical="center" wrapText="1"/>
    </xf>
    <xf numFmtId="3" fontId="54" fillId="3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49" fontId="37" fillId="8" borderId="240" xfId="2" applyNumberFormat="1" applyFont="1" applyFill="1" applyBorder="1" applyAlignment="1">
      <alignment horizontal="center" vertical="center" wrapText="1"/>
    </xf>
    <xf numFmtId="49" fontId="37" fillId="8" borderId="222" xfId="2" applyNumberFormat="1" applyFont="1" applyFill="1" applyBorder="1" applyAlignment="1">
      <alignment horizontal="center" vertical="center" wrapText="1"/>
    </xf>
    <xf numFmtId="49" fontId="37" fillId="8" borderId="222" xfId="2" applyNumberFormat="1" applyFont="1" applyFill="1" applyBorder="1" applyAlignment="1" applyProtection="1">
      <alignment horizontal="center" vertical="center" wrapText="1"/>
      <protection locked="0"/>
    </xf>
    <xf numFmtId="0" fontId="37" fillId="8" borderId="227" xfId="2" applyFont="1" applyFill="1" applyBorder="1" applyAlignment="1" applyProtection="1">
      <alignment horizontal="left" vertical="center" wrapText="1"/>
      <protection locked="0"/>
    </xf>
    <xf numFmtId="3" fontId="37" fillId="3" borderId="229" xfId="10" applyNumberFormat="1" applyFont="1" applyFill="1" applyBorder="1" applyAlignment="1">
      <alignment horizontal="center" vertical="center"/>
    </xf>
    <xf numFmtId="3" fontId="37" fillId="3" borderId="222" xfId="10" applyNumberFormat="1" applyFont="1" applyFill="1" applyBorder="1" applyAlignment="1">
      <alignment horizontal="center" vertical="center"/>
    </xf>
    <xf numFmtId="3" fontId="37" fillId="3" borderId="230" xfId="10" applyNumberFormat="1" applyFont="1" applyFill="1" applyBorder="1" applyAlignment="1">
      <alignment horizontal="center" vertical="center"/>
    </xf>
    <xf numFmtId="3" fontId="37" fillId="3" borderId="171" xfId="10" applyNumberFormat="1" applyFont="1" applyFill="1" applyBorder="1" applyAlignment="1">
      <alignment horizontal="center" vertical="center"/>
    </xf>
    <xf numFmtId="3" fontId="37" fillId="3" borderId="235" xfId="10" applyNumberFormat="1" applyFont="1" applyFill="1" applyBorder="1" applyAlignment="1">
      <alignment horizontal="center" vertical="center"/>
    </xf>
    <xf numFmtId="49" fontId="54" fillId="8" borderId="240" xfId="2" applyNumberFormat="1" applyFont="1" applyFill="1" applyBorder="1" applyAlignment="1">
      <alignment horizontal="center" vertical="center" wrapText="1"/>
    </xf>
    <xf numFmtId="49" fontId="54" fillId="8" borderId="222" xfId="2" applyNumberFormat="1" applyFont="1" applyFill="1" applyBorder="1" applyAlignment="1" applyProtection="1">
      <alignment horizontal="center" vertical="center" wrapText="1"/>
      <protection locked="0"/>
    </xf>
    <xf numFmtId="0" fontId="54" fillId="8" borderId="227" xfId="2" applyFont="1" applyFill="1" applyBorder="1" applyAlignment="1" applyProtection="1">
      <alignment horizontal="left" vertical="center" wrapText="1"/>
      <protection locked="0"/>
    </xf>
    <xf numFmtId="3" fontId="54" fillId="3" borderId="230" xfId="10" applyNumberFormat="1" applyFont="1" applyFill="1" applyBorder="1" applyAlignment="1">
      <alignment horizontal="center" vertical="center"/>
    </xf>
    <xf numFmtId="3" fontId="54" fillId="3" borderId="171" xfId="10" applyNumberFormat="1" applyFont="1" applyFill="1" applyBorder="1" applyAlignment="1">
      <alignment horizontal="center" vertical="center"/>
    </xf>
    <xf numFmtId="49" fontId="54" fillId="8" borderId="222" xfId="2" applyNumberFormat="1" applyFont="1" applyFill="1" applyBorder="1" applyAlignment="1">
      <alignment horizontal="center" vertical="center" wrapText="1"/>
    </xf>
    <xf numFmtId="3" fontId="54" fillId="3" borderId="229" xfId="10" applyNumberFormat="1" applyFont="1" applyFill="1" applyBorder="1" applyAlignment="1">
      <alignment horizontal="center" vertical="center"/>
    </xf>
    <xf numFmtId="3" fontId="54" fillId="3" borderId="222" xfId="10" applyNumberFormat="1" applyFont="1" applyFill="1" applyBorder="1" applyAlignment="1">
      <alignment horizontal="center" vertical="center"/>
    </xf>
    <xf numFmtId="49" fontId="54" fillId="8" borderId="223" xfId="2" applyNumberFormat="1" applyFont="1" applyFill="1" applyBorder="1" applyAlignment="1">
      <alignment horizontal="center" vertical="center" wrapText="1"/>
    </xf>
    <xf numFmtId="49" fontId="54" fillId="8" borderId="224" xfId="2" applyNumberFormat="1" applyFont="1" applyFill="1" applyBorder="1" applyAlignment="1">
      <alignment horizontal="center" vertical="center" wrapText="1"/>
    </xf>
    <xf numFmtId="0" fontId="54" fillId="8" borderId="228" xfId="2" applyFont="1" applyFill="1" applyBorder="1" applyAlignment="1" applyProtection="1">
      <alignment horizontal="left" vertical="center" wrapText="1"/>
      <protection locked="0"/>
    </xf>
    <xf numFmtId="3" fontId="54" fillId="3" borderId="231" xfId="10" applyNumberFormat="1" applyFont="1" applyFill="1" applyBorder="1" applyAlignment="1">
      <alignment horizontal="center" vertical="center"/>
    </xf>
    <xf numFmtId="3" fontId="54" fillId="3" borderId="224" xfId="10" applyNumberFormat="1" applyFont="1" applyFill="1" applyBorder="1" applyAlignment="1">
      <alignment horizontal="center" vertical="center"/>
    </xf>
    <xf numFmtId="3" fontId="54" fillId="3" borderId="232" xfId="10" applyNumberFormat="1" applyFont="1" applyFill="1" applyBorder="1" applyAlignment="1">
      <alignment horizontal="center" vertical="center"/>
    </xf>
    <xf numFmtId="3" fontId="54" fillId="3" borderId="220" xfId="10" applyNumberFormat="1" applyFont="1" applyFill="1" applyBorder="1" applyAlignment="1">
      <alignment horizontal="center" vertical="center"/>
    </xf>
    <xf numFmtId="0" fontId="130" fillId="0" borderId="0" xfId="0" applyFont="1"/>
    <xf numFmtId="3" fontId="116" fillId="2" borderId="0" xfId="0" applyNumberFormat="1" applyFont="1" applyFill="1" applyBorder="1" applyAlignment="1">
      <alignment horizontal="center" vertical="center" textRotation="255" wrapText="1"/>
    </xf>
    <xf numFmtId="3" fontId="131" fillId="5" borderId="0" xfId="2" applyNumberFormat="1" applyFont="1" applyFill="1" applyBorder="1" applyAlignment="1">
      <alignment horizontal="center" vertical="center" wrapText="1"/>
    </xf>
    <xf numFmtId="3" fontId="116" fillId="3" borderId="0" xfId="0" applyNumberFormat="1" applyFont="1" applyFill="1" applyBorder="1" applyAlignment="1">
      <alignment horizontal="center" vertical="center"/>
    </xf>
    <xf numFmtId="3" fontId="86" fillId="3" borderId="0" xfId="0" applyNumberFormat="1" applyFont="1" applyFill="1" applyBorder="1" applyAlignment="1">
      <alignment horizontal="center" vertical="center"/>
    </xf>
    <xf numFmtId="0" fontId="86" fillId="2" borderId="0" xfId="0" applyFont="1" applyFill="1" applyBorder="1"/>
    <xf numFmtId="0" fontId="132" fillId="0" borderId="0" xfId="0" applyFont="1"/>
    <xf numFmtId="3" fontId="133" fillId="2" borderId="0" xfId="0" applyNumberFormat="1" applyFont="1" applyFill="1" applyBorder="1" applyAlignment="1">
      <alignment horizontal="center" vertical="center" textRotation="255" wrapText="1"/>
    </xf>
    <xf numFmtId="3" fontId="134" fillId="5" borderId="0" xfId="2" applyNumberFormat="1" applyFont="1" applyFill="1" applyBorder="1" applyAlignment="1">
      <alignment horizontal="center" vertical="center" wrapText="1"/>
    </xf>
    <xf numFmtId="3" fontId="133" fillId="5" borderId="0" xfId="2" applyNumberFormat="1" applyFont="1" applyFill="1" applyBorder="1" applyAlignment="1">
      <alignment horizontal="center" vertical="center" wrapText="1"/>
    </xf>
    <xf numFmtId="3" fontId="133" fillId="9" borderId="0" xfId="2" applyNumberFormat="1" applyFont="1" applyFill="1" applyBorder="1" applyAlignment="1">
      <alignment horizontal="center" vertical="center" wrapText="1"/>
    </xf>
    <xf numFmtId="3" fontId="133" fillId="3" borderId="0" xfId="0" applyNumberFormat="1" applyFont="1" applyFill="1" applyBorder="1" applyAlignment="1">
      <alignment horizontal="center" vertical="center"/>
    </xf>
    <xf numFmtId="0" fontId="135" fillId="0" borderId="0" xfId="0" applyFont="1" applyAlignment="1">
      <alignment horizontal="center"/>
    </xf>
    <xf numFmtId="3" fontId="135" fillId="5" borderId="0" xfId="2" applyNumberFormat="1" applyFont="1" applyFill="1" applyBorder="1" applyAlignment="1">
      <alignment horizontal="center" vertical="center" wrapText="1"/>
    </xf>
    <xf numFmtId="3" fontId="135" fillId="9" borderId="0" xfId="2" applyNumberFormat="1" applyFont="1" applyFill="1" applyBorder="1" applyAlignment="1">
      <alignment horizontal="center" vertical="center" wrapText="1"/>
    </xf>
    <xf numFmtId="0" fontId="136" fillId="0" borderId="0" xfId="0" applyFont="1" applyBorder="1" applyAlignment="1">
      <alignment horizontal="center" vertical="center"/>
    </xf>
    <xf numFmtId="3" fontId="132" fillId="0" borderId="0" xfId="0" applyNumberFormat="1" applyFont="1"/>
    <xf numFmtId="3" fontId="9" fillId="6" borderId="171" xfId="0" applyNumberFormat="1" applyFont="1" applyFill="1" applyBorder="1" applyAlignment="1" applyProtection="1">
      <alignment horizontal="center" vertical="center" wrapText="1"/>
      <protection locked="0"/>
    </xf>
    <xf numFmtId="3" fontId="9" fillId="4" borderId="171" xfId="0" applyNumberFormat="1" applyFont="1" applyFill="1" applyBorder="1" applyAlignment="1">
      <alignment horizontal="center" vertical="center"/>
    </xf>
    <xf numFmtId="3" fontId="10" fillId="4" borderId="171" xfId="0" applyNumberFormat="1" applyFont="1" applyFill="1" applyBorder="1" applyAlignment="1">
      <alignment horizontal="center" vertical="center"/>
    </xf>
    <xf numFmtId="3" fontId="10" fillId="0" borderId="171" xfId="0" applyNumberFormat="1" applyFont="1" applyBorder="1" applyAlignment="1">
      <alignment horizontal="center" vertical="center"/>
    </xf>
    <xf numFmtId="3" fontId="11" fillId="3" borderId="171" xfId="0" applyNumberFormat="1" applyFont="1" applyFill="1" applyBorder="1" applyAlignment="1">
      <alignment horizontal="center" vertical="center"/>
    </xf>
    <xf numFmtId="3" fontId="13" fillId="3" borderId="171" xfId="0" applyNumberFormat="1" applyFont="1" applyFill="1" applyBorder="1" applyAlignment="1">
      <alignment horizontal="center" vertical="center"/>
    </xf>
    <xf numFmtId="3" fontId="27" fillId="3" borderId="171" xfId="0" applyNumberFormat="1" applyFont="1" applyFill="1" applyBorder="1" applyAlignment="1">
      <alignment horizontal="center" vertical="center"/>
    </xf>
    <xf numFmtId="3" fontId="13" fillId="8" borderId="171" xfId="5" applyNumberFormat="1" applyFont="1" applyFill="1" applyBorder="1" applyAlignment="1">
      <alignment horizontal="center" vertical="center"/>
    </xf>
    <xf numFmtId="3" fontId="9" fillId="8" borderId="171" xfId="6" applyNumberFormat="1" applyFont="1" applyFill="1" applyBorder="1" applyAlignment="1">
      <alignment horizontal="center" vertical="center"/>
    </xf>
    <xf numFmtId="3" fontId="9" fillId="15" borderId="171" xfId="6" applyNumberFormat="1" applyFont="1" applyFill="1" applyBorder="1" applyAlignment="1">
      <alignment horizontal="center" vertical="center"/>
    </xf>
    <xf numFmtId="3" fontId="9" fillId="8" borderId="171" xfId="5" applyNumberFormat="1" applyFont="1" applyFill="1" applyBorder="1" applyAlignment="1">
      <alignment horizontal="center" vertical="center"/>
    </xf>
    <xf numFmtId="0" fontId="30" fillId="3" borderId="171" xfId="0" applyFont="1" applyFill="1" applyBorder="1"/>
    <xf numFmtId="3" fontId="19" fillId="3" borderId="2" xfId="0" applyNumberFormat="1" applyFont="1" applyFill="1" applyBorder="1" applyAlignment="1">
      <alignment horizontal="center" vertical="center"/>
    </xf>
    <xf numFmtId="49" fontId="9" fillId="0" borderId="240" xfId="2" applyNumberFormat="1" applyFont="1" applyBorder="1" applyAlignment="1">
      <alignment horizontal="center" vertical="center" wrapText="1"/>
    </xf>
    <xf numFmtId="49" fontId="9" fillId="7" borderId="227" xfId="3" applyNumberFormat="1" applyFont="1" applyFill="1" applyBorder="1" applyAlignment="1">
      <alignment horizontal="center" vertical="center" wrapText="1"/>
    </xf>
    <xf numFmtId="0" fontId="9" fillId="4" borderId="244" xfId="1" applyFont="1" applyFill="1" applyBorder="1" applyAlignment="1" applyProtection="1">
      <alignment horizontal="left" vertical="center" wrapText="1"/>
      <protection locked="0"/>
    </xf>
    <xf numFmtId="3" fontId="19" fillId="3" borderId="229" xfId="0" applyNumberFormat="1" applyFont="1" applyFill="1" applyBorder="1" applyAlignment="1">
      <alignment horizontal="center" vertical="center"/>
    </xf>
    <xf numFmtId="3" fontId="19" fillId="3" borderId="230" xfId="0" applyNumberFormat="1" applyFont="1" applyFill="1" applyBorder="1" applyAlignment="1">
      <alignment horizontal="center" vertical="center"/>
    </xf>
    <xf numFmtId="3" fontId="19" fillId="3" borderId="234" xfId="0" applyNumberFormat="1" applyFont="1" applyFill="1" applyBorder="1" applyAlignment="1">
      <alignment horizontal="center" vertical="center"/>
    </xf>
    <xf numFmtId="3" fontId="19" fillId="3" borderId="222" xfId="0" applyNumberFormat="1" applyFont="1" applyFill="1" applyBorder="1" applyAlignment="1">
      <alignment horizontal="center" vertical="center"/>
    </xf>
    <xf numFmtId="49" fontId="24" fillId="4" borderId="240" xfId="2" applyNumberFormat="1" applyFont="1" applyFill="1" applyBorder="1" applyAlignment="1">
      <alignment horizontal="center" vertical="center" wrapText="1"/>
    </xf>
    <xf numFmtId="49" fontId="24" fillId="7" borderId="227" xfId="3" applyNumberFormat="1" applyFont="1" applyFill="1" applyBorder="1" applyAlignment="1">
      <alignment horizontal="center" vertical="center" wrapText="1"/>
    </xf>
    <xf numFmtId="0" fontId="24" fillId="4" borderId="244" xfId="1" applyFont="1" applyFill="1" applyBorder="1" applyAlignment="1" applyProtection="1">
      <alignment horizontal="left" vertical="center" wrapText="1"/>
      <protection locked="0"/>
    </xf>
    <xf numFmtId="3" fontId="24" fillId="3" borderId="229" xfId="0" applyNumberFormat="1" applyFont="1" applyFill="1" applyBorder="1" applyAlignment="1">
      <alignment horizontal="center" vertical="center"/>
    </xf>
    <xf numFmtId="3" fontId="24" fillId="3" borderId="230" xfId="0" applyNumberFormat="1" applyFont="1" applyFill="1" applyBorder="1" applyAlignment="1">
      <alignment horizontal="center" vertical="center" wrapText="1"/>
    </xf>
    <xf numFmtId="3" fontId="24" fillId="3" borderId="234" xfId="0" applyNumberFormat="1" applyFont="1" applyFill="1" applyBorder="1" applyAlignment="1">
      <alignment horizontal="center" vertical="center" wrapText="1"/>
    </xf>
    <xf numFmtId="3" fontId="24" fillId="3" borderId="222" xfId="0" applyNumberFormat="1" applyFont="1" applyFill="1" applyBorder="1" applyAlignment="1">
      <alignment horizontal="center" vertical="center"/>
    </xf>
    <xf numFmtId="49" fontId="24" fillId="4" borderId="227" xfId="1" applyNumberFormat="1" applyFont="1" applyFill="1" applyBorder="1" applyAlignment="1" applyProtection="1">
      <alignment horizontal="center" vertical="center" wrapText="1"/>
      <protection locked="0"/>
    </xf>
    <xf numFmtId="3" fontId="24" fillId="12" borderId="222" xfId="0" applyNumberFormat="1" applyFont="1" applyFill="1" applyBorder="1" applyAlignment="1">
      <alignment horizontal="center" vertical="center"/>
    </xf>
    <xf numFmtId="49" fontId="24" fillId="4" borderId="227" xfId="1" applyNumberFormat="1" applyFont="1" applyFill="1" applyBorder="1" applyAlignment="1">
      <alignment horizontal="center" vertical="center" wrapText="1"/>
    </xf>
    <xf numFmtId="49" fontId="24" fillId="0" borderId="240" xfId="2" applyNumberFormat="1" applyFont="1" applyBorder="1" applyAlignment="1">
      <alignment horizontal="center" vertical="center" wrapText="1"/>
    </xf>
    <xf numFmtId="49" fontId="9" fillId="4" borderId="227" xfId="1" applyNumberFormat="1" applyFont="1" applyFill="1" applyBorder="1" applyAlignment="1" applyProtection="1">
      <alignment horizontal="center" vertical="center" wrapText="1"/>
      <protection locked="0"/>
    </xf>
    <xf numFmtId="3" fontId="24" fillId="26" borderId="222" xfId="0" applyNumberFormat="1" applyFont="1" applyFill="1" applyBorder="1" applyAlignment="1">
      <alignment horizontal="center" vertical="center"/>
    </xf>
    <xf numFmtId="3" fontId="24" fillId="3" borderId="222" xfId="0" applyNumberFormat="1" applyFont="1" applyFill="1" applyBorder="1" applyAlignment="1">
      <alignment horizontal="center" vertical="center" wrapText="1"/>
    </xf>
    <xf numFmtId="3" fontId="22" fillId="3" borderId="230" xfId="0" applyNumberFormat="1" applyFont="1" applyFill="1" applyBorder="1" applyAlignment="1">
      <alignment horizontal="center" vertical="center"/>
    </xf>
    <xf numFmtId="3" fontId="22" fillId="27" borderId="222" xfId="0" applyNumberFormat="1" applyFont="1" applyFill="1" applyBorder="1" applyAlignment="1">
      <alignment horizontal="center" vertical="center"/>
    </xf>
    <xf numFmtId="49" fontId="9" fillId="4" borderId="227" xfId="1" applyNumberFormat="1" applyFont="1" applyFill="1" applyBorder="1" applyAlignment="1">
      <alignment horizontal="center" vertical="center" wrapText="1"/>
    </xf>
    <xf numFmtId="3" fontId="22" fillId="3" borderId="229" xfId="0" applyNumberFormat="1" applyFont="1" applyFill="1" applyBorder="1" applyAlignment="1">
      <alignment horizontal="center" vertical="center"/>
    </xf>
    <xf numFmtId="3" fontId="22" fillId="3" borderId="222" xfId="0" applyNumberFormat="1" applyFont="1" applyFill="1" applyBorder="1" applyAlignment="1">
      <alignment horizontal="center" vertical="center"/>
    </xf>
    <xf numFmtId="3" fontId="63" fillId="3" borderId="230" xfId="0" applyNumberFormat="1" applyFont="1" applyFill="1" applyBorder="1" applyAlignment="1">
      <alignment horizontal="center" vertical="center" wrapText="1"/>
    </xf>
    <xf numFmtId="3" fontId="98" fillId="3" borderId="229" xfId="0" applyNumberFormat="1" applyFont="1" applyFill="1" applyBorder="1" applyAlignment="1">
      <alignment horizontal="center" vertical="center"/>
    </xf>
    <xf numFmtId="3" fontId="63" fillId="3" borderId="229" xfId="0" applyNumberFormat="1" applyFont="1" applyFill="1" applyBorder="1" applyAlignment="1">
      <alignment horizontal="center" vertical="center"/>
    </xf>
    <xf numFmtId="49" fontId="24" fillId="0" borderId="223" xfId="2" applyNumberFormat="1" applyFont="1" applyBorder="1" applyAlignment="1">
      <alignment horizontal="center" vertical="center" wrapText="1"/>
    </xf>
    <xf numFmtId="49" fontId="24" fillId="4" borderId="228" xfId="1" applyNumberFormat="1" applyFont="1" applyFill="1" applyBorder="1" applyAlignment="1" applyProtection="1">
      <alignment horizontal="center" vertical="center" wrapText="1"/>
      <protection locked="0"/>
    </xf>
    <xf numFmtId="3" fontId="63" fillId="3" borderId="232" xfId="0" applyNumberFormat="1" applyFont="1" applyFill="1" applyBorder="1" applyAlignment="1">
      <alignment horizontal="center" vertical="center" wrapText="1"/>
    </xf>
    <xf numFmtId="3" fontId="63" fillId="3" borderId="231" xfId="0" applyNumberFormat="1" applyFont="1" applyFill="1" applyBorder="1" applyAlignment="1">
      <alignment horizontal="center" vertical="center"/>
    </xf>
    <xf numFmtId="3" fontId="24" fillId="3" borderId="224" xfId="0" applyNumberFormat="1" applyFont="1" applyFill="1" applyBorder="1" applyAlignment="1">
      <alignment horizontal="center" vertical="center"/>
    </xf>
    <xf numFmtId="3" fontId="24" fillId="3" borderId="220" xfId="0" applyNumberFormat="1" applyFont="1" applyFill="1" applyBorder="1" applyAlignment="1">
      <alignment horizontal="center" vertical="center" wrapText="1"/>
    </xf>
    <xf numFmtId="3" fontId="137" fillId="2" borderId="0" xfId="0" applyNumberFormat="1" applyFont="1" applyFill="1" applyBorder="1" applyAlignment="1">
      <alignment horizontal="center" vertical="center" textRotation="255" wrapText="1"/>
    </xf>
    <xf numFmtId="3" fontId="138" fillId="5" borderId="0" xfId="2" applyNumberFormat="1" applyFont="1" applyFill="1" applyBorder="1" applyAlignment="1">
      <alignment horizontal="center" vertical="center" wrapText="1"/>
    </xf>
    <xf numFmtId="3" fontId="137" fillId="3" borderId="0" xfId="0" applyNumberFormat="1" applyFont="1" applyFill="1" applyBorder="1" applyAlignment="1">
      <alignment horizontal="center" vertical="center"/>
    </xf>
    <xf numFmtId="49" fontId="9" fillId="3" borderId="240" xfId="2" applyNumberFormat="1" applyFont="1" applyFill="1" applyBorder="1" applyAlignment="1">
      <alignment horizontal="center" vertical="center" wrapText="1"/>
    </xf>
    <xf numFmtId="49" fontId="9" fillId="8" borderId="222" xfId="2" applyNumberFormat="1" applyFont="1" applyFill="1" applyBorder="1" applyAlignment="1">
      <alignment horizontal="center" vertical="center" wrapText="1"/>
    </xf>
    <xf numFmtId="0" fontId="9" fillId="8" borderId="227" xfId="2" applyFont="1" applyFill="1" applyBorder="1" applyAlignment="1">
      <alignment horizontal="left" vertical="center" wrapText="1"/>
    </xf>
    <xf numFmtId="3" fontId="9" fillId="3" borderId="235" xfId="0" applyNumberFormat="1" applyFont="1" applyFill="1" applyBorder="1" applyAlignment="1">
      <alignment horizontal="center" vertical="center"/>
    </xf>
    <xf numFmtId="49" fontId="10" fillId="3" borderId="240" xfId="2" applyNumberFormat="1" applyFont="1" applyFill="1" applyBorder="1" applyAlignment="1">
      <alignment horizontal="center" vertical="center" wrapText="1"/>
    </xf>
    <xf numFmtId="49" fontId="10" fillId="3" borderId="222" xfId="2" applyNumberFormat="1" applyFont="1" applyFill="1" applyBorder="1" applyAlignment="1">
      <alignment horizontal="center" vertical="center" wrapText="1"/>
    </xf>
    <xf numFmtId="49" fontId="10" fillId="8" borderId="222" xfId="2" applyNumberFormat="1" applyFont="1" applyFill="1" applyBorder="1" applyAlignment="1">
      <alignment horizontal="center" vertical="center" wrapText="1"/>
    </xf>
    <xf numFmtId="0" fontId="10" fillId="8" borderId="227" xfId="2" applyFont="1" applyFill="1" applyBorder="1" applyAlignment="1">
      <alignment horizontal="left" vertical="center" wrapText="1"/>
    </xf>
    <xf numFmtId="49" fontId="19" fillId="3" borderId="240" xfId="2" applyNumberFormat="1" applyFont="1" applyFill="1" applyBorder="1" applyAlignment="1">
      <alignment horizontal="center" vertical="center" wrapText="1"/>
    </xf>
    <xf numFmtId="49" fontId="19" fillId="3" borderId="222" xfId="2" applyNumberFormat="1" applyFont="1" applyFill="1" applyBorder="1" applyAlignment="1">
      <alignment horizontal="center" vertical="center" wrapText="1"/>
    </xf>
    <xf numFmtId="49" fontId="19" fillId="8" borderId="222" xfId="2" applyNumberFormat="1" applyFont="1" applyFill="1" applyBorder="1" applyAlignment="1">
      <alignment horizontal="center" vertical="center" wrapText="1"/>
    </xf>
    <xf numFmtId="49" fontId="10" fillId="8" borderId="222" xfId="2" applyNumberFormat="1" applyFont="1" applyFill="1" applyBorder="1" applyAlignment="1" applyProtection="1">
      <alignment horizontal="center" vertical="center" wrapText="1"/>
      <protection locked="0"/>
    </xf>
    <xf numFmtId="49" fontId="10" fillId="8" borderId="245" xfId="2" applyNumberFormat="1" applyFont="1" applyFill="1" applyBorder="1" applyAlignment="1">
      <alignment horizontal="center" vertical="center" wrapText="1"/>
    </xf>
    <xf numFmtId="49" fontId="10" fillId="8" borderId="246" xfId="2" applyNumberFormat="1" applyFont="1" applyFill="1" applyBorder="1" applyAlignment="1" applyProtection="1">
      <alignment horizontal="center" vertical="center" wrapText="1"/>
      <protection locked="0"/>
    </xf>
    <xf numFmtId="49" fontId="10" fillId="8" borderId="246" xfId="2" applyNumberFormat="1" applyFont="1" applyFill="1" applyBorder="1" applyAlignment="1">
      <alignment horizontal="center" vertical="center" wrapText="1"/>
    </xf>
    <xf numFmtId="0" fontId="10" fillId="8" borderId="247" xfId="2" applyFont="1" applyFill="1" applyBorder="1" applyAlignment="1">
      <alignment horizontal="left" vertical="center" wrapText="1"/>
    </xf>
    <xf numFmtId="49" fontId="9" fillId="3" borderId="251" xfId="2" applyNumberFormat="1" applyFont="1" applyFill="1" applyBorder="1" applyAlignment="1">
      <alignment horizontal="center" vertical="center" wrapText="1"/>
    </xf>
    <xf numFmtId="49" fontId="10" fillId="3" borderId="248" xfId="2" applyNumberFormat="1" applyFont="1" applyFill="1" applyBorder="1" applyAlignment="1">
      <alignment horizontal="center" vertical="center" wrapText="1"/>
    </xf>
    <xf numFmtId="49" fontId="9" fillId="8" borderId="248" xfId="2" applyNumberFormat="1" applyFont="1" applyFill="1" applyBorder="1" applyAlignment="1">
      <alignment horizontal="center" vertical="center" wrapText="1"/>
    </xf>
    <xf numFmtId="3" fontId="9" fillId="3" borderId="248" xfId="0" applyNumberFormat="1" applyFont="1" applyFill="1" applyBorder="1" applyAlignment="1">
      <alignment horizontal="center" vertical="center"/>
    </xf>
    <xf numFmtId="49" fontId="10" fillId="3" borderId="251" xfId="2" applyNumberFormat="1" applyFont="1" applyFill="1" applyBorder="1" applyAlignment="1">
      <alignment horizontal="center" vertical="center" wrapText="1"/>
    </xf>
    <xf numFmtId="49" fontId="10" fillId="8" borderId="248" xfId="2" applyNumberFormat="1" applyFont="1" applyFill="1" applyBorder="1" applyAlignment="1">
      <alignment horizontal="center" vertical="center" wrapText="1"/>
    </xf>
    <xf numFmtId="3" fontId="10" fillId="3" borderId="248" xfId="0" applyNumberFormat="1" applyFont="1" applyFill="1" applyBorder="1" applyAlignment="1">
      <alignment horizontal="center" vertical="center"/>
    </xf>
    <xf numFmtId="49" fontId="9" fillId="3" borderId="248" xfId="2" applyNumberFormat="1" applyFont="1" applyFill="1" applyBorder="1" applyAlignment="1">
      <alignment horizontal="center" vertical="center" wrapText="1"/>
    </xf>
    <xf numFmtId="3" fontId="24" fillId="3" borderId="249" xfId="0" applyNumberFormat="1" applyFont="1" applyFill="1" applyBorder="1" applyAlignment="1">
      <alignment horizontal="center" vertical="center"/>
    </xf>
    <xf numFmtId="49" fontId="9" fillId="8" borderId="252" xfId="2" applyNumberFormat="1" applyFont="1" applyFill="1" applyBorder="1" applyAlignment="1">
      <alignment horizontal="center" vertical="center" wrapText="1"/>
    </xf>
    <xf numFmtId="3" fontId="10" fillId="3" borderId="253" xfId="6" applyNumberFormat="1" applyFont="1" applyFill="1" applyBorder="1" applyAlignment="1">
      <alignment horizontal="center" vertical="center"/>
    </xf>
    <xf numFmtId="3" fontId="10" fillId="3" borderId="254" xfId="0" applyNumberFormat="1" applyFont="1" applyFill="1" applyBorder="1" applyAlignment="1">
      <alignment horizontal="center" vertical="center"/>
    </xf>
    <xf numFmtId="3" fontId="10" fillId="3" borderId="255" xfId="0" applyNumberFormat="1" applyFont="1" applyFill="1" applyBorder="1" applyAlignment="1">
      <alignment horizontal="center" vertical="center"/>
    </xf>
    <xf numFmtId="0" fontId="4" fillId="2" borderId="251" xfId="0" applyFont="1" applyFill="1" applyBorder="1"/>
    <xf numFmtId="0" fontId="4" fillId="0" borderId="256" xfId="0" applyFont="1" applyBorder="1"/>
    <xf numFmtId="0" fontId="4" fillId="0" borderId="20" xfId="0" applyFont="1" applyBorder="1"/>
    <xf numFmtId="3" fontId="9" fillId="6" borderId="248" xfId="0" applyNumberFormat="1" applyFont="1" applyFill="1" applyBorder="1" applyAlignment="1" applyProtection="1">
      <alignment horizontal="center" vertical="center" wrapText="1"/>
      <protection locked="0"/>
    </xf>
    <xf numFmtId="49" fontId="38" fillId="5" borderId="251" xfId="2" applyNumberFormat="1" applyFont="1" applyFill="1" applyBorder="1" applyAlignment="1">
      <alignment horizontal="center" vertical="center" textRotation="255" wrapText="1"/>
    </xf>
    <xf numFmtId="49" fontId="38" fillId="5" borderId="248" xfId="2" applyNumberFormat="1" applyFont="1" applyFill="1" applyBorder="1" applyAlignment="1">
      <alignment horizontal="center" vertical="center" textRotation="255" wrapText="1"/>
    </xf>
    <xf numFmtId="3" fontId="39" fillId="5" borderId="248" xfId="2" applyNumberFormat="1" applyFont="1" applyFill="1" applyBorder="1" applyAlignment="1">
      <alignment horizontal="center" vertical="center" wrapText="1"/>
    </xf>
    <xf numFmtId="3" fontId="4" fillId="3" borderId="248" xfId="0" applyNumberFormat="1" applyFont="1" applyFill="1" applyBorder="1" applyAlignment="1">
      <alignment horizontal="center" vertical="center"/>
    </xf>
    <xf numFmtId="49" fontId="10" fillId="3" borderId="248" xfId="2" applyNumberFormat="1" applyFont="1" applyFill="1" applyBorder="1" applyAlignment="1" applyProtection="1">
      <alignment horizontal="center" vertical="center" wrapText="1"/>
      <protection locked="0"/>
    </xf>
    <xf numFmtId="3" fontId="13" fillId="8" borderId="248" xfId="5" applyNumberFormat="1" applyFont="1" applyFill="1" applyBorder="1" applyAlignment="1">
      <alignment horizontal="center" vertical="center"/>
    </xf>
    <xf numFmtId="49" fontId="10" fillId="3" borderId="258" xfId="2" applyNumberFormat="1" applyFont="1" applyFill="1" applyBorder="1" applyAlignment="1">
      <alignment horizontal="center" vertical="center" wrapText="1"/>
    </xf>
    <xf numFmtId="49" fontId="10" fillId="3" borderId="254" xfId="2" applyNumberFormat="1" applyFont="1" applyFill="1" applyBorder="1" applyAlignment="1" applyProtection="1">
      <alignment horizontal="center" vertical="center" wrapText="1"/>
      <protection locked="0"/>
    </xf>
    <xf numFmtId="3" fontId="4" fillId="3" borderId="254" xfId="0" applyNumberFormat="1" applyFont="1" applyFill="1" applyBorder="1" applyAlignment="1">
      <alignment horizontal="center" vertical="center"/>
    </xf>
    <xf numFmtId="3" fontId="10" fillId="3" borderId="259" xfId="0" applyNumberFormat="1" applyFont="1" applyFill="1" applyBorder="1" applyAlignment="1">
      <alignment horizontal="center" vertical="center"/>
    </xf>
    <xf numFmtId="0" fontId="0" fillId="2" borderId="251" xfId="0" applyFill="1" applyBorder="1"/>
    <xf numFmtId="0" fontId="0" fillId="2" borderId="248" xfId="0" applyFill="1" applyBorder="1"/>
    <xf numFmtId="0" fontId="23" fillId="2" borderId="248" xfId="0" applyFont="1" applyFill="1" applyBorder="1"/>
    <xf numFmtId="0" fontId="0" fillId="2" borderId="257" xfId="0" applyFill="1" applyBorder="1"/>
    <xf numFmtId="0" fontId="23" fillId="2" borderId="257" xfId="0" applyFont="1" applyFill="1" applyBorder="1"/>
    <xf numFmtId="3" fontId="23" fillId="2" borderId="257" xfId="0" applyNumberFormat="1" applyFont="1" applyFill="1" applyBorder="1"/>
    <xf numFmtId="3" fontId="56" fillId="2" borderId="71" xfId="0" applyNumberFormat="1" applyFont="1" applyFill="1" applyBorder="1" applyAlignment="1">
      <alignment horizontal="center" vertical="center" textRotation="90" wrapText="1"/>
    </xf>
    <xf numFmtId="3" fontId="19" fillId="2" borderId="0" xfId="0" applyNumberFormat="1" applyFont="1" applyFill="1" applyBorder="1" applyAlignment="1">
      <alignment horizontal="center" vertical="center" textRotation="90" wrapText="1"/>
    </xf>
    <xf numFmtId="3" fontId="9" fillId="2" borderId="0" xfId="0" applyNumberFormat="1" applyFont="1" applyFill="1" applyBorder="1" applyAlignment="1">
      <alignment horizontal="center" vertical="center" textRotation="90" wrapText="1"/>
    </xf>
    <xf numFmtId="3" fontId="19" fillId="3" borderId="250" xfId="0" applyNumberFormat="1" applyFont="1" applyFill="1" applyBorder="1" applyAlignment="1">
      <alignment horizontal="center" vertical="center"/>
    </xf>
    <xf numFmtId="3" fontId="19" fillId="3" borderId="249" xfId="0" applyNumberFormat="1" applyFont="1" applyFill="1" applyBorder="1" applyAlignment="1">
      <alignment horizontal="center" vertical="center"/>
    </xf>
    <xf numFmtId="3" fontId="24" fillId="3" borderId="250" xfId="0" applyNumberFormat="1" applyFont="1" applyFill="1" applyBorder="1" applyAlignment="1">
      <alignment horizontal="center" vertical="center"/>
    </xf>
    <xf numFmtId="3" fontId="24" fillId="3" borderId="250" xfId="0" applyNumberFormat="1" applyFont="1" applyFill="1" applyBorder="1" applyAlignment="1">
      <alignment horizontal="center" vertical="center" wrapText="1"/>
    </xf>
    <xf numFmtId="3" fontId="24" fillId="3" borderId="249" xfId="0" applyNumberFormat="1" applyFont="1" applyFill="1" applyBorder="1" applyAlignment="1">
      <alignment horizontal="center" vertical="center" wrapText="1"/>
    </xf>
    <xf numFmtId="3" fontId="22" fillId="3" borderId="250" xfId="0" applyNumberFormat="1" applyFont="1" applyFill="1" applyBorder="1" applyAlignment="1">
      <alignment horizontal="center" vertical="center"/>
    </xf>
    <xf numFmtId="3" fontId="22" fillId="3" borderId="249" xfId="0" applyNumberFormat="1" applyFont="1" applyFill="1" applyBorder="1" applyAlignment="1">
      <alignment horizontal="center" vertical="center"/>
    </xf>
    <xf numFmtId="3" fontId="24" fillId="3" borderId="260" xfId="0" applyNumberFormat="1" applyFont="1" applyFill="1" applyBorder="1" applyAlignment="1">
      <alignment horizontal="center" vertical="center"/>
    </xf>
    <xf numFmtId="3" fontId="24" fillId="3" borderId="261" xfId="0" applyNumberFormat="1" applyFont="1" applyFill="1" applyBorder="1" applyAlignment="1">
      <alignment horizontal="center" vertical="center"/>
    </xf>
    <xf numFmtId="0" fontId="97" fillId="0" borderId="20" xfId="0" applyFont="1" applyBorder="1" applyAlignment="1">
      <alignment horizontal="left" vertical="center" wrapText="1"/>
    </xf>
    <xf numFmtId="0" fontId="117" fillId="0" borderId="0" xfId="0" applyFont="1" applyAlignment="1">
      <alignment horizontal="center"/>
    </xf>
    <xf numFmtId="3" fontId="9" fillId="3" borderId="263" xfId="0" applyNumberFormat="1" applyFont="1" applyFill="1" applyBorder="1" applyAlignment="1">
      <alignment horizontal="center" vertical="center"/>
    </xf>
    <xf numFmtId="3" fontId="10" fillId="0" borderId="263" xfId="0" applyNumberFormat="1" applyFont="1" applyBorder="1" applyAlignment="1">
      <alignment horizontal="center" vertical="center"/>
    </xf>
    <xf numFmtId="3" fontId="10" fillId="3" borderId="263" xfId="0" applyNumberFormat="1" applyFont="1" applyFill="1" applyBorder="1" applyAlignment="1">
      <alignment horizontal="center" vertical="center"/>
    </xf>
    <xf numFmtId="3" fontId="19" fillId="3" borderId="263" xfId="0" applyNumberFormat="1" applyFont="1" applyFill="1" applyBorder="1" applyAlignment="1">
      <alignment horizontal="center" vertical="center"/>
    </xf>
    <xf numFmtId="3" fontId="10" fillId="3" borderId="262" xfId="0" applyNumberFormat="1" applyFont="1" applyFill="1" applyBorder="1" applyAlignment="1">
      <alignment horizontal="center" vertical="center"/>
    </xf>
    <xf numFmtId="3" fontId="9" fillId="3" borderId="265" xfId="0" applyNumberFormat="1" applyFont="1" applyFill="1" applyBorder="1" applyAlignment="1">
      <alignment horizontal="center" vertical="center"/>
    </xf>
    <xf numFmtId="3" fontId="9" fillId="3" borderId="266" xfId="0" applyNumberFormat="1" applyFont="1" applyFill="1" applyBorder="1" applyAlignment="1">
      <alignment horizontal="center" vertical="center"/>
    </xf>
    <xf numFmtId="3" fontId="9" fillId="3" borderId="267" xfId="0" applyNumberFormat="1" applyFont="1" applyFill="1" applyBorder="1" applyAlignment="1">
      <alignment horizontal="center" vertical="center"/>
    </xf>
    <xf numFmtId="3" fontId="10" fillId="3" borderId="265" xfId="0" applyNumberFormat="1" applyFont="1" applyFill="1" applyBorder="1" applyAlignment="1">
      <alignment horizontal="center" vertical="center"/>
    </xf>
    <xf numFmtId="3" fontId="10" fillId="3" borderId="266" xfId="0" applyNumberFormat="1" applyFont="1" applyFill="1" applyBorder="1" applyAlignment="1">
      <alignment horizontal="center" vertical="center"/>
    </xf>
    <xf numFmtId="3" fontId="10" fillId="3" borderId="267" xfId="0" applyNumberFormat="1" applyFont="1" applyFill="1" applyBorder="1" applyAlignment="1">
      <alignment horizontal="center" vertical="center"/>
    </xf>
    <xf numFmtId="3" fontId="10" fillId="0" borderId="265" xfId="0" applyNumberFormat="1" applyFont="1" applyBorder="1" applyAlignment="1">
      <alignment horizontal="center" vertical="center"/>
    </xf>
    <xf numFmtId="3" fontId="10" fillId="3" borderId="265" xfId="5" applyNumberFormat="1" applyFont="1" applyFill="1" applyBorder="1" applyAlignment="1">
      <alignment horizontal="center" vertical="center"/>
    </xf>
    <xf numFmtId="3" fontId="24" fillId="3" borderId="266" xfId="0" applyNumberFormat="1" applyFont="1" applyFill="1" applyBorder="1" applyAlignment="1">
      <alignment horizontal="center" vertical="center"/>
    </xf>
    <xf numFmtId="3" fontId="24" fillId="3" borderId="267" xfId="0" applyNumberFormat="1" applyFont="1" applyFill="1" applyBorder="1" applyAlignment="1">
      <alignment horizontal="center" vertical="center"/>
    </xf>
    <xf numFmtId="3" fontId="13" fillId="8" borderId="266" xfId="5" applyNumberFormat="1" applyFont="1" applyFill="1" applyBorder="1" applyAlignment="1">
      <alignment horizontal="center" vertical="center"/>
    </xf>
    <xf numFmtId="3" fontId="13" fillId="8" borderId="267" xfId="5" applyNumberFormat="1" applyFont="1" applyFill="1" applyBorder="1" applyAlignment="1">
      <alignment horizontal="center" vertical="center"/>
    </xf>
    <xf numFmtId="3" fontId="13" fillId="3" borderId="267" xfId="0" applyNumberFormat="1" applyFont="1" applyFill="1" applyBorder="1" applyAlignment="1">
      <alignment horizontal="center" vertical="center"/>
    </xf>
    <xf numFmtId="3" fontId="10" fillId="0" borderId="263" xfId="6" applyNumberFormat="1" applyFont="1" applyBorder="1" applyAlignment="1">
      <alignment horizontal="center" vertical="center"/>
    </xf>
    <xf numFmtId="3" fontId="9" fillId="8" borderId="266" xfId="5" applyNumberFormat="1" applyFont="1" applyFill="1" applyBorder="1" applyAlignment="1">
      <alignment horizontal="center" vertical="center"/>
    </xf>
    <xf numFmtId="3" fontId="9" fillId="8" borderId="267" xfId="5" applyNumberFormat="1" applyFont="1" applyFill="1" applyBorder="1" applyAlignment="1">
      <alignment horizontal="center" vertical="center"/>
    </xf>
    <xf numFmtId="3" fontId="9" fillId="8" borderId="267" xfId="6" applyNumberFormat="1" applyFont="1" applyFill="1" applyBorder="1" applyAlignment="1">
      <alignment horizontal="center" vertical="center"/>
    </xf>
    <xf numFmtId="3" fontId="9" fillId="3" borderId="265" xfId="5" applyNumberFormat="1" applyFont="1" applyFill="1" applyBorder="1" applyAlignment="1">
      <alignment horizontal="center" vertical="center"/>
    </xf>
    <xf numFmtId="3" fontId="9" fillId="8" borderId="265" xfId="5" applyNumberFormat="1" applyFont="1" applyFill="1" applyBorder="1" applyAlignment="1">
      <alignment horizontal="center" vertical="center"/>
    </xf>
    <xf numFmtId="3" fontId="10" fillId="8" borderId="267" xfId="5" applyNumberFormat="1" applyFont="1" applyFill="1" applyBorder="1" applyAlignment="1">
      <alignment horizontal="center" vertical="center"/>
    </xf>
    <xf numFmtId="49" fontId="9" fillId="3" borderId="272" xfId="2" applyNumberFormat="1" applyFont="1" applyFill="1" applyBorder="1" applyAlignment="1">
      <alignment horizontal="center" vertical="center" wrapText="1"/>
    </xf>
    <xf numFmtId="49" fontId="9" fillId="3" borderId="266" xfId="2" applyNumberFormat="1" applyFont="1" applyFill="1" applyBorder="1" applyAlignment="1">
      <alignment horizontal="center" vertical="center" wrapText="1"/>
    </xf>
    <xf numFmtId="49" fontId="9" fillId="8" borderId="266" xfId="2" applyNumberFormat="1" applyFont="1" applyFill="1" applyBorder="1" applyAlignment="1">
      <alignment horizontal="center" vertical="center" wrapText="1"/>
    </xf>
    <xf numFmtId="0" fontId="10" fillId="8" borderId="264" xfId="2" applyFont="1" applyFill="1" applyBorder="1" applyAlignment="1">
      <alignment horizontal="left" vertical="center" wrapText="1"/>
    </xf>
    <xf numFmtId="3" fontId="19" fillId="5" borderId="263" xfId="2" applyNumberFormat="1" applyFont="1" applyFill="1" applyBorder="1" applyAlignment="1">
      <alignment horizontal="center" vertical="center" wrapText="1"/>
    </xf>
    <xf numFmtId="3" fontId="39" fillId="5" borderId="266" xfId="2" applyNumberFormat="1" applyFont="1" applyFill="1" applyBorder="1" applyAlignment="1">
      <alignment horizontal="center" vertical="center" wrapText="1"/>
    </xf>
    <xf numFmtId="3" fontId="39" fillId="5" borderId="267" xfId="2" applyNumberFormat="1" applyFont="1" applyFill="1" applyBorder="1" applyAlignment="1">
      <alignment horizontal="center" vertical="center" wrapText="1"/>
    </xf>
    <xf numFmtId="3" fontId="9" fillId="0" borderId="265" xfId="6" applyNumberFormat="1" applyFont="1" applyBorder="1" applyAlignment="1">
      <alignment horizontal="center" vertical="center"/>
    </xf>
    <xf numFmtId="3" fontId="10" fillId="0" borderId="265" xfId="5" applyNumberFormat="1" applyFont="1" applyBorder="1" applyAlignment="1">
      <alignment horizontal="center" vertical="center"/>
    </xf>
    <xf numFmtId="3" fontId="10" fillId="0" borderId="265" xfId="6" applyNumberFormat="1" applyFont="1" applyBorder="1" applyAlignment="1">
      <alignment horizontal="center" vertical="center"/>
    </xf>
    <xf numFmtId="3" fontId="118" fillId="2" borderId="0" xfId="0" applyNumberFormat="1" applyFont="1" applyFill="1" applyBorder="1" applyAlignment="1">
      <alignment horizontal="center" vertical="center" textRotation="255" wrapText="1"/>
    </xf>
    <xf numFmtId="3" fontId="118" fillId="5" borderId="0" xfId="2" applyNumberFormat="1" applyFont="1" applyFill="1" applyBorder="1" applyAlignment="1">
      <alignment horizontal="center" vertical="center" wrapText="1"/>
    </xf>
    <xf numFmtId="3" fontId="118" fillId="9" borderId="0" xfId="2" applyNumberFormat="1" applyFont="1" applyFill="1" applyBorder="1" applyAlignment="1">
      <alignment horizontal="center" vertical="center" wrapText="1"/>
    </xf>
    <xf numFmtId="3" fontId="125" fillId="5" borderId="0" xfId="2" applyNumberFormat="1" applyFont="1" applyFill="1" applyBorder="1" applyAlignment="1">
      <alignment horizontal="center" vertical="center" wrapText="1"/>
    </xf>
    <xf numFmtId="3" fontId="125" fillId="9" borderId="0" xfId="2" applyNumberFormat="1" applyFont="1" applyFill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/>
    </xf>
    <xf numFmtId="0" fontId="117" fillId="0" borderId="0" xfId="0" applyFont="1" applyAlignment="1">
      <alignment horizontal="center"/>
    </xf>
    <xf numFmtId="0" fontId="117" fillId="0" borderId="0" xfId="0" applyFont="1" applyAlignment="1">
      <alignment horizontal="center"/>
    </xf>
    <xf numFmtId="0" fontId="47" fillId="8" borderId="0" xfId="2" applyFont="1" applyFill="1" applyBorder="1" applyAlignment="1">
      <alignment horizontal="left" vertical="center" wrapText="1"/>
    </xf>
    <xf numFmtId="3" fontId="46" fillId="3" borderId="266" xfId="0" applyNumberFormat="1" applyFont="1" applyFill="1" applyBorder="1" applyAlignment="1">
      <alignment horizontal="center" vertical="center"/>
    </xf>
    <xf numFmtId="3" fontId="46" fillId="3" borderId="267" xfId="0" applyNumberFormat="1" applyFont="1" applyFill="1" applyBorder="1" applyAlignment="1">
      <alignment horizontal="center" vertical="center"/>
    </xf>
    <xf numFmtId="3" fontId="47" fillId="3" borderId="266" xfId="0" applyNumberFormat="1" applyFont="1" applyFill="1" applyBorder="1" applyAlignment="1">
      <alignment horizontal="center" vertical="center"/>
    </xf>
    <xf numFmtId="3" fontId="47" fillId="3" borderId="267" xfId="0" applyNumberFormat="1" applyFont="1" applyFill="1" applyBorder="1" applyAlignment="1">
      <alignment horizontal="center" vertical="center"/>
    </xf>
    <xf numFmtId="3" fontId="46" fillId="4" borderId="266" xfId="0" applyNumberFormat="1" applyFont="1" applyFill="1" applyBorder="1" applyAlignment="1">
      <alignment horizontal="center" vertical="center"/>
    </xf>
    <xf numFmtId="3" fontId="46" fillId="4" borderId="267" xfId="0" applyNumberFormat="1" applyFont="1" applyFill="1" applyBorder="1" applyAlignment="1">
      <alignment horizontal="center" vertical="center"/>
    </xf>
    <xf numFmtId="3" fontId="46" fillId="0" borderId="266" xfId="0" applyNumberFormat="1" applyFont="1" applyBorder="1" applyAlignment="1">
      <alignment horizontal="center" vertical="center"/>
    </xf>
    <xf numFmtId="3" fontId="46" fillId="0" borderId="267" xfId="0" applyNumberFormat="1" applyFont="1" applyBorder="1" applyAlignment="1">
      <alignment horizontal="center" vertical="center"/>
    </xf>
    <xf numFmtId="3" fontId="59" fillId="3" borderId="265" xfId="0" applyNumberFormat="1" applyFont="1" applyFill="1" applyBorder="1" applyAlignment="1">
      <alignment horizontal="center" vertical="center"/>
    </xf>
    <xf numFmtId="3" fontId="46" fillId="9" borderId="266" xfId="2" applyNumberFormat="1" applyFont="1" applyFill="1" applyBorder="1" applyAlignment="1">
      <alignment horizontal="center" vertical="center" wrapText="1"/>
    </xf>
    <xf numFmtId="3" fontId="46" fillId="9" borderId="267" xfId="2" applyNumberFormat="1" applyFont="1" applyFill="1" applyBorder="1" applyAlignment="1">
      <alignment horizontal="center" vertical="center" wrapText="1"/>
    </xf>
    <xf numFmtId="3" fontId="47" fillId="9" borderId="266" xfId="2" applyNumberFormat="1" applyFont="1" applyFill="1" applyBorder="1" applyAlignment="1">
      <alignment horizontal="center" vertical="center" wrapText="1"/>
    </xf>
    <xf numFmtId="3" fontId="47" fillId="2" borderId="266" xfId="0" applyNumberFormat="1" applyFont="1" applyFill="1" applyBorder="1" applyAlignment="1">
      <alignment horizontal="center" vertical="center"/>
    </xf>
    <xf numFmtId="3" fontId="47" fillId="2" borderId="267" xfId="0" applyNumberFormat="1" applyFont="1" applyFill="1" applyBorder="1" applyAlignment="1">
      <alignment horizontal="center" vertical="center"/>
    </xf>
    <xf numFmtId="3" fontId="47" fillId="2" borderId="268" xfId="0" applyNumberFormat="1" applyFont="1" applyFill="1" applyBorder="1" applyAlignment="1">
      <alignment horizontal="center" vertical="center"/>
    </xf>
    <xf numFmtId="3" fontId="47" fillId="3" borderId="268" xfId="0" applyNumberFormat="1" applyFont="1" applyFill="1" applyBorder="1" applyAlignment="1">
      <alignment horizontal="center" vertical="center"/>
    </xf>
    <xf numFmtId="3" fontId="47" fillId="3" borderId="268" xfId="0" applyNumberFormat="1" applyFont="1" applyFill="1" applyBorder="1" applyAlignment="1">
      <alignment horizontal="center" vertical="center" wrapText="1"/>
    </xf>
    <xf numFmtId="3" fontId="47" fillId="3" borderId="265" xfId="0" applyNumberFormat="1" applyFont="1" applyFill="1" applyBorder="1" applyAlignment="1">
      <alignment horizontal="center" vertical="center" wrapText="1"/>
    </xf>
    <xf numFmtId="3" fontId="47" fillId="3" borderId="266" xfId="0" applyNumberFormat="1" applyFont="1" applyFill="1" applyBorder="1" applyAlignment="1">
      <alignment horizontal="center" vertical="center" wrapText="1"/>
    </xf>
    <xf numFmtId="3" fontId="47" fillId="3" borderId="267" xfId="0" applyNumberFormat="1" applyFont="1" applyFill="1" applyBorder="1" applyAlignment="1">
      <alignment horizontal="center" vertical="center" wrapText="1"/>
    </xf>
    <xf numFmtId="3" fontId="47" fillId="4" borderId="266" xfId="0" applyNumberFormat="1" applyFont="1" applyFill="1" applyBorder="1" applyAlignment="1">
      <alignment horizontal="center" vertical="center"/>
    </xf>
    <xf numFmtId="3" fontId="47" fillId="4" borderId="267" xfId="0" applyNumberFormat="1" applyFont="1" applyFill="1" applyBorder="1" applyAlignment="1">
      <alignment horizontal="center" vertical="center"/>
    </xf>
    <xf numFmtId="3" fontId="47" fillId="0" borderId="266" xfId="0" applyNumberFormat="1" applyFont="1" applyBorder="1" applyAlignment="1">
      <alignment horizontal="center" vertical="center"/>
    </xf>
    <xf numFmtId="3" fontId="47" fillId="0" borderId="267" xfId="0" applyNumberFormat="1" applyFont="1" applyBorder="1" applyAlignment="1">
      <alignment horizontal="center" vertical="center"/>
    </xf>
    <xf numFmtId="3" fontId="46" fillId="3" borderId="268" xfId="0" applyNumberFormat="1" applyFont="1" applyFill="1" applyBorder="1" applyAlignment="1">
      <alignment horizontal="center" vertical="center"/>
    </xf>
    <xf numFmtId="3" fontId="47" fillId="2" borderId="268" xfId="0" applyNumberFormat="1" applyFont="1" applyFill="1" applyBorder="1" applyAlignment="1">
      <alignment horizontal="center" vertical="center" wrapText="1"/>
    </xf>
    <xf numFmtId="3" fontId="47" fillId="8" borderId="268" xfId="2" applyNumberFormat="1" applyFont="1" applyFill="1" applyBorder="1" applyAlignment="1">
      <alignment horizontal="center" vertical="center"/>
    </xf>
    <xf numFmtId="3" fontId="46" fillId="3" borderId="266" xfId="4" applyNumberFormat="1" applyFont="1" applyFill="1" applyBorder="1" applyAlignment="1">
      <alignment horizontal="center" vertical="center" wrapText="1"/>
    </xf>
    <xf numFmtId="3" fontId="46" fillId="8" borderId="266" xfId="2" applyNumberFormat="1" applyFont="1" applyFill="1" applyBorder="1" applyAlignment="1">
      <alignment horizontal="center" vertical="center" wrapText="1"/>
    </xf>
    <xf numFmtId="3" fontId="47" fillId="3" borderId="266" xfId="4" applyNumberFormat="1" applyFont="1" applyFill="1" applyBorder="1" applyAlignment="1">
      <alignment horizontal="center" vertical="center" wrapText="1"/>
    </xf>
    <xf numFmtId="3" fontId="46" fillId="3" borderId="266" xfId="0" applyNumberFormat="1" applyFont="1" applyFill="1" applyBorder="1" applyAlignment="1">
      <alignment horizontal="center" vertical="center" wrapText="1"/>
    </xf>
    <xf numFmtId="3" fontId="46" fillId="3" borderId="267" xfId="0" applyNumberFormat="1" applyFont="1" applyFill="1" applyBorder="1" applyAlignment="1">
      <alignment horizontal="center" vertical="center" wrapText="1"/>
    </xf>
    <xf numFmtId="3" fontId="59" fillId="3" borderId="266" xfId="0" applyNumberFormat="1" applyFont="1" applyFill="1" applyBorder="1" applyAlignment="1">
      <alignment horizontal="center" vertical="center"/>
    </xf>
    <xf numFmtId="3" fontId="59" fillId="3" borderId="267" xfId="0" applyNumberFormat="1" applyFont="1" applyFill="1" applyBorder="1" applyAlignment="1">
      <alignment horizontal="center" vertical="center"/>
    </xf>
    <xf numFmtId="3" fontId="47" fillId="2" borderId="263" xfId="0" applyNumberFormat="1" applyFont="1" applyFill="1" applyBorder="1" applyAlignment="1">
      <alignment horizontal="center" vertical="center"/>
    </xf>
    <xf numFmtId="3" fontId="47" fillId="3" borderId="263" xfId="0" applyNumberFormat="1" applyFont="1" applyFill="1" applyBorder="1" applyAlignment="1">
      <alignment horizontal="center" vertical="center"/>
    </xf>
    <xf numFmtId="3" fontId="59" fillId="3" borderId="267" xfId="0" applyNumberFormat="1" applyFont="1" applyFill="1" applyBorder="1" applyAlignment="1">
      <alignment horizontal="center" vertical="center" wrapText="1"/>
    </xf>
    <xf numFmtId="1" fontId="47" fillId="2" borderId="267" xfId="0" applyNumberFormat="1" applyFont="1" applyFill="1" applyBorder="1" applyAlignment="1">
      <alignment horizontal="center" vertical="center"/>
    </xf>
    <xf numFmtId="0" fontId="61" fillId="0" borderId="0" xfId="0" applyFont="1" applyFill="1"/>
    <xf numFmtId="3" fontId="61" fillId="0" borderId="0" xfId="0" applyNumberFormat="1" applyFont="1"/>
    <xf numFmtId="3" fontId="143" fillId="3" borderId="0" xfId="0" applyNumberFormat="1" applyFont="1" applyFill="1" applyBorder="1"/>
    <xf numFmtId="0" fontId="62" fillId="0" borderId="0" xfId="0" applyFont="1" applyFill="1"/>
    <xf numFmtId="0" fontId="61" fillId="0" borderId="47" xfId="0" applyFont="1" applyBorder="1"/>
    <xf numFmtId="3" fontId="62" fillId="0" borderId="0" xfId="0" applyNumberFormat="1" applyFont="1" applyFill="1"/>
    <xf numFmtId="3" fontId="145" fillId="12" borderId="0" xfId="0" applyNumberFormat="1" applyFont="1" applyFill="1"/>
    <xf numFmtId="0" fontId="124" fillId="0" borderId="0" xfId="0" applyFont="1" applyAlignment="1">
      <alignment horizontal="center" vertical="center"/>
    </xf>
    <xf numFmtId="3" fontId="129" fillId="2" borderId="0" xfId="0" applyNumberFormat="1" applyFont="1" applyFill="1" applyBorder="1" applyAlignment="1">
      <alignment horizontal="center" vertical="center" textRotation="255" wrapText="1"/>
    </xf>
    <xf numFmtId="0" fontId="124" fillId="2" borderId="0" xfId="0" applyFont="1" applyFill="1" applyBorder="1" applyAlignment="1">
      <alignment horizontal="center" vertical="center"/>
    </xf>
    <xf numFmtId="3" fontId="129" fillId="2" borderId="0" xfId="0" applyNumberFormat="1" applyFont="1" applyFill="1" applyBorder="1" applyAlignment="1">
      <alignment horizontal="center" vertical="center"/>
    </xf>
    <xf numFmtId="3" fontId="23" fillId="2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3" fontId="25" fillId="20" borderId="0" xfId="0" applyNumberFormat="1" applyFont="1" applyFill="1" applyBorder="1" applyAlignment="1">
      <alignment horizontal="center" vertical="center"/>
    </xf>
    <xf numFmtId="3" fontId="23" fillId="20" borderId="0" xfId="0" applyNumberFormat="1" applyFont="1" applyFill="1" applyBorder="1" applyAlignment="1">
      <alignment horizontal="center" vertical="center"/>
    </xf>
    <xf numFmtId="3" fontId="56" fillId="2" borderId="45" xfId="0" applyNumberFormat="1" applyFont="1" applyFill="1" applyBorder="1" applyAlignment="1">
      <alignment horizontal="center" vertical="center" wrapText="1"/>
    </xf>
    <xf numFmtId="3" fontId="56" fillId="2" borderId="44" xfId="0" applyNumberFormat="1" applyFont="1" applyFill="1" applyBorder="1" applyAlignment="1">
      <alignment horizontal="center" vertical="center" wrapText="1"/>
    </xf>
    <xf numFmtId="0" fontId="117" fillId="0" borderId="0" xfId="0" applyFont="1" applyAlignment="1">
      <alignment horizontal="center"/>
    </xf>
    <xf numFmtId="3" fontId="141" fillId="3" borderId="266" xfId="4" applyNumberFormat="1" applyFont="1" applyFill="1" applyBorder="1" applyAlignment="1">
      <alignment horizontal="center" vertical="center" wrapText="1"/>
    </xf>
    <xf numFmtId="3" fontId="141" fillId="3" borderId="266" xfId="0" applyNumberFormat="1" applyFont="1" applyFill="1" applyBorder="1" applyAlignment="1">
      <alignment horizontal="center" vertical="center"/>
    </xf>
    <xf numFmtId="3" fontId="146" fillId="3" borderId="266" xfId="4" applyNumberFormat="1" applyFont="1" applyFill="1" applyBorder="1" applyAlignment="1">
      <alignment horizontal="center" vertical="center" wrapText="1"/>
    </xf>
    <xf numFmtId="3" fontId="147" fillId="3" borderId="266" xfId="4" applyNumberFormat="1" applyFont="1" applyFill="1" applyBorder="1" applyAlignment="1">
      <alignment horizontal="center" vertical="center" wrapText="1"/>
    </xf>
    <xf numFmtId="3" fontId="83" fillId="3" borderId="266" xfId="4" applyNumberFormat="1" applyFont="1" applyFill="1" applyBorder="1" applyAlignment="1">
      <alignment horizontal="center" vertical="center" wrapText="1"/>
    </xf>
    <xf numFmtId="3" fontId="84" fillId="3" borderId="266" xfId="0" applyNumberFormat="1" applyFont="1" applyFill="1" applyBorder="1" applyAlignment="1">
      <alignment horizontal="center" vertical="center"/>
    </xf>
    <xf numFmtId="3" fontId="9" fillId="6" borderId="266" xfId="0" applyNumberFormat="1" applyFont="1" applyFill="1" applyBorder="1" applyAlignment="1" applyProtection="1">
      <alignment horizontal="center" vertical="center" wrapText="1"/>
      <protection locked="0"/>
    </xf>
    <xf numFmtId="3" fontId="9" fillId="6" borderId="267" xfId="0" applyNumberFormat="1" applyFont="1" applyFill="1" applyBorder="1" applyAlignment="1" applyProtection="1">
      <alignment horizontal="center" vertical="center" wrapText="1"/>
      <protection locked="0"/>
    </xf>
    <xf numFmtId="3" fontId="37" fillId="3" borderId="265" xfId="0" applyNumberFormat="1" applyFont="1" applyFill="1" applyBorder="1" applyAlignment="1">
      <alignment horizontal="center" vertical="center"/>
    </xf>
    <xf numFmtId="3" fontId="37" fillId="3" borderId="266" xfId="0" applyNumberFormat="1" applyFont="1" applyFill="1" applyBorder="1" applyAlignment="1">
      <alignment horizontal="center" vertical="center"/>
    </xf>
    <xf numFmtId="3" fontId="37" fillId="3" borderId="267" xfId="0" applyNumberFormat="1" applyFont="1" applyFill="1" applyBorder="1" applyAlignment="1">
      <alignment horizontal="center" vertical="center"/>
    </xf>
    <xf numFmtId="3" fontId="54" fillId="3" borderId="265" xfId="0" applyNumberFormat="1" applyFont="1" applyFill="1" applyBorder="1" applyAlignment="1">
      <alignment horizontal="center" vertical="center"/>
    </xf>
    <xf numFmtId="3" fontId="54" fillId="3" borderId="266" xfId="0" applyNumberFormat="1" applyFont="1" applyFill="1" applyBorder="1" applyAlignment="1">
      <alignment horizontal="center" vertical="center"/>
    </xf>
    <xf numFmtId="3" fontId="54" fillId="3" borderId="267" xfId="0" applyNumberFormat="1" applyFont="1" applyFill="1" applyBorder="1" applyAlignment="1">
      <alignment horizontal="center" vertical="center"/>
    </xf>
    <xf numFmtId="3" fontId="69" fillId="2" borderId="266" xfId="0" applyNumberFormat="1" applyFont="1" applyFill="1" applyBorder="1" applyAlignment="1">
      <alignment horizontal="center" vertical="center"/>
    </xf>
    <xf numFmtId="3" fontId="69" fillId="2" borderId="257" xfId="0" applyNumberFormat="1" applyFont="1" applyFill="1" applyBorder="1" applyAlignment="1">
      <alignment horizontal="center" vertical="center"/>
    </xf>
    <xf numFmtId="49" fontId="118" fillId="9" borderId="266" xfId="2" applyNumberFormat="1" applyFont="1" applyFill="1" applyBorder="1" applyAlignment="1">
      <alignment horizontal="center" vertical="center" wrapText="1"/>
    </xf>
    <xf numFmtId="3" fontId="119" fillId="3" borderId="264" xfId="0" applyNumberFormat="1" applyFont="1" applyFill="1" applyBorder="1" applyAlignment="1">
      <alignment horizontal="center" vertical="center"/>
    </xf>
    <xf numFmtId="3" fontId="46" fillId="3" borderId="263" xfId="0" applyNumberFormat="1" applyFont="1" applyFill="1" applyBorder="1" applyAlignment="1">
      <alignment horizontal="center" vertical="center"/>
    </xf>
    <xf numFmtId="49" fontId="118" fillId="3" borderId="272" xfId="0" applyNumberFormat="1" applyFont="1" applyFill="1" applyBorder="1" applyAlignment="1">
      <alignment horizontal="center" vertical="center" wrapText="1"/>
    </xf>
    <xf numFmtId="49" fontId="118" fillId="3" borderId="266" xfId="0" applyNumberFormat="1" applyFont="1" applyFill="1" applyBorder="1" applyAlignment="1">
      <alignment horizontal="center" vertical="center" wrapText="1"/>
    </xf>
    <xf numFmtId="49" fontId="118" fillId="3" borderId="266" xfId="2" applyNumberFormat="1" applyFont="1" applyFill="1" applyBorder="1" applyAlignment="1">
      <alignment horizontal="center" vertical="center" wrapText="1"/>
    </xf>
    <xf numFmtId="3" fontId="118" fillId="3" borderId="266" xfId="5" applyNumberFormat="1" applyFont="1" applyFill="1" applyBorder="1" applyAlignment="1">
      <alignment horizontal="center" vertical="center"/>
    </xf>
    <xf numFmtId="3" fontId="118" fillId="3" borderId="266" xfId="0" applyNumberFormat="1" applyFont="1" applyFill="1" applyBorder="1" applyAlignment="1">
      <alignment horizontal="center" vertical="center"/>
    </xf>
    <xf numFmtId="3" fontId="118" fillId="3" borderId="264" xfId="0" applyNumberFormat="1" applyFont="1" applyFill="1" applyBorder="1" applyAlignment="1">
      <alignment horizontal="center" vertical="center"/>
    </xf>
    <xf numFmtId="3" fontId="33" fillId="2" borderId="0" xfId="0" applyNumberFormat="1" applyFont="1" applyFill="1"/>
    <xf numFmtId="49" fontId="118" fillId="13" borderId="266" xfId="2" applyNumberFormat="1" applyFont="1" applyFill="1" applyBorder="1" applyAlignment="1">
      <alignment horizontal="center" vertical="center" wrapText="1"/>
    </xf>
    <xf numFmtId="49" fontId="119" fillId="4" borderId="266" xfId="2" applyNumberFormat="1" applyFont="1" applyFill="1" applyBorder="1" applyAlignment="1">
      <alignment horizontal="center" vertical="center" wrapText="1"/>
    </xf>
    <xf numFmtId="3" fontId="119" fillId="4" borderId="266" xfId="0" applyNumberFormat="1" applyFont="1" applyFill="1" applyBorder="1" applyAlignment="1">
      <alignment horizontal="center" vertical="center"/>
    </xf>
    <xf numFmtId="3" fontId="119" fillId="0" borderId="266" xfId="0" applyNumberFormat="1" applyFont="1" applyBorder="1" applyAlignment="1">
      <alignment horizontal="center" vertical="center"/>
    </xf>
    <xf numFmtId="3" fontId="59" fillId="3" borderId="268" xfId="0" applyNumberFormat="1" applyFont="1" applyFill="1" applyBorder="1" applyAlignment="1">
      <alignment horizontal="center" vertical="center" wrapText="1"/>
    </xf>
    <xf numFmtId="3" fontId="147" fillId="3" borderId="268" xfId="0" applyNumberFormat="1" applyFont="1" applyFill="1" applyBorder="1" applyAlignment="1">
      <alignment horizontal="center" vertical="center" wrapText="1"/>
    </xf>
    <xf numFmtId="3" fontId="147" fillId="8" borderId="268" xfId="2" applyNumberFormat="1" applyFont="1" applyFill="1" applyBorder="1" applyAlignment="1">
      <alignment horizontal="center" vertical="center"/>
    </xf>
    <xf numFmtId="3" fontId="84" fillId="3" borderId="268" xfId="0" applyNumberFormat="1" applyFont="1" applyFill="1" applyBorder="1" applyAlignment="1">
      <alignment horizontal="center" vertical="center" wrapText="1"/>
    </xf>
    <xf numFmtId="3" fontId="60" fillId="3" borderId="266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117" fillId="0" borderId="0" xfId="0" applyFont="1" applyAlignment="1">
      <alignment horizontal="center"/>
    </xf>
    <xf numFmtId="3" fontId="37" fillId="2" borderId="263" xfId="0" applyNumberFormat="1" applyFont="1" applyFill="1" applyBorder="1" applyAlignment="1">
      <alignment horizontal="center" vertical="center"/>
    </xf>
    <xf numFmtId="3" fontId="54" fillId="5" borderId="263" xfId="2" applyNumberFormat="1" applyFont="1" applyFill="1" applyBorder="1" applyAlignment="1">
      <alignment horizontal="center" vertical="center" wrapText="1"/>
    </xf>
    <xf numFmtId="49" fontId="37" fillId="8" borderId="272" xfId="2" applyNumberFormat="1" applyFont="1" applyFill="1" applyBorder="1" applyAlignment="1">
      <alignment horizontal="center" vertical="center" wrapText="1"/>
    </xf>
    <xf numFmtId="49" fontId="37" fillId="8" borderId="266" xfId="2" applyNumberFormat="1" applyFont="1" applyFill="1" applyBorder="1" applyAlignment="1">
      <alignment horizontal="center" vertical="center" wrapText="1"/>
    </xf>
    <xf numFmtId="49" fontId="37" fillId="8" borderId="266" xfId="2" applyNumberFormat="1" applyFont="1" applyFill="1" applyBorder="1" applyAlignment="1" applyProtection="1">
      <alignment horizontal="center" vertical="center" wrapText="1"/>
      <protection locked="0"/>
    </xf>
    <xf numFmtId="0" fontId="37" fillId="8" borderId="274" xfId="2" applyFont="1" applyFill="1" applyBorder="1" applyAlignment="1" applyProtection="1">
      <alignment horizontal="left" vertical="center" wrapText="1"/>
      <protection locked="0"/>
    </xf>
    <xf numFmtId="3" fontId="37" fillId="3" borderId="262" xfId="0" applyNumberFormat="1" applyFont="1" applyFill="1" applyBorder="1" applyAlignment="1">
      <alignment horizontal="center" vertical="center"/>
    </xf>
    <xf numFmtId="0" fontId="37" fillId="5" borderId="264" xfId="2" applyFont="1" applyFill="1" applyBorder="1" applyAlignment="1">
      <alignment horizontal="center" vertical="center" wrapText="1"/>
    </xf>
    <xf numFmtId="0" fontId="37" fillId="5" borderId="264" xfId="2" applyFont="1" applyFill="1" applyBorder="1" applyAlignment="1">
      <alignment horizontal="left" vertical="center" wrapText="1"/>
    </xf>
    <xf numFmtId="0" fontId="37" fillId="8" borderId="264" xfId="2" applyFont="1" applyFill="1" applyBorder="1" applyAlignment="1">
      <alignment horizontal="left" vertical="center" wrapText="1"/>
    </xf>
    <xf numFmtId="0" fontId="37" fillId="8" borderId="264" xfId="1" applyFont="1" applyFill="1" applyBorder="1" applyAlignment="1" applyProtection="1">
      <alignment horizontal="left" vertical="center" wrapText="1"/>
      <protection locked="0"/>
    </xf>
    <xf numFmtId="0" fontId="54" fillId="8" borderId="264" xfId="1" applyFont="1" applyFill="1" applyBorder="1" applyAlignment="1" applyProtection="1">
      <alignment horizontal="left" vertical="center" wrapText="1"/>
      <protection locked="0"/>
    </xf>
    <xf numFmtId="0" fontId="54" fillId="8" borderId="264" xfId="1" applyFont="1" applyFill="1" applyBorder="1" applyAlignment="1">
      <alignment horizontal="left" vertical="center" wrapText="1"/>
    </xf>
    <xf numFmtId="0" fontId="54" fillId="8" borderId="264" xfId="2" applyFont="1" applyFill="1" applyBorder="1" applyAlignment="1" applyProtection="1">
      <alignment horizontal="left" vertical="center" wrapText="1"/>
      <protection locked="0"/>
    </xf>
    <xf numFmtId="0" fontId="37" fillId="8" borderId="264" xfId="1" applyFont="1" applyFill="1" applyBorder="1" applyAlignment="1">
      <alignment horizontal="left" vertical="center" wrapText="1"/>
    </xf>
    <xf numFmtId="0" fontId="37" fillId="3" borderId="264" xfId="1" applyFont="1" applyFill="1" applyBorder="1" applyAlignment="1">
      <alignment horizontal="left" vertical="center" wrapText="1"/>
    </xf>
    <xf numFmtId="0" fontId="37" fillId="8" borderId="264" xfId="2" applyFont="1" applyFill="1" applyBorder="1" applyAlignment="1" applyProtection="1">
      <alignment horizontal="left" vertical="center" wrapText="1"/>
      <protection locked="0"/>
    </xf>
    <xf numFmtId="0" fontId="56" fillId="8" borderId="264" xfId="1" applyFont="1" applyFill="1" applyBorder="1" applyAlignment="1">
      <alignment horizontal="left" vertical="center" wrapText="1"/>
    </xf>
    <xf numFmtId="0" fontId="102" fillId="2" borderId="264" xfId="0" applyFont="1" applyFill="1" applyBorder="1" applyAlignment="1"/>
    <xf numFmtId="49" fontId="103" fillId="5" borderId="264" xfId="2" applyNumberFormat="1" applyFont="1" applyFill="1" applyBorder="1" applyAlignment="1">
      <alignment vertical="center" wrapText="1"/>
    </xf>
    <xf numFmtId="3" fontId="37" fillId="3" borderId="263" xfId="0" applyNumberFormat="1" applyFont="1" applyFill="1" applyBorder="1" applyAlignment="1">
      <alignment horizontal="center" vertical="center"/>
    </xf>
    <xf numFmtId="3" fontId="54" fillId="3" borderId="263" xfId="0" applyNumberFormat="1" applyFont="1" applyFill="1" applyBorder="1" applyAlignment="1">
      <alignment horizontal="center" vertical="center"/>
    </xf>
    <xf numFmtId="3" fontId="69" fillId="2" borderId="263" xfId="0" applyNumberFormat="1" applyFont="1" applyFill="1" applyBorder="1" applyAlignment="1">
      <alignment horizontal="center" vertical="center"/>
    </xf>
    <xf numFmtId="3" fontId="37" fillId="6" borderId="265" xfId="0" applyNumberFormat="1" applyFont="1" applyFill="1" applyBorder="1" applyAlignment="1" applyProtection="1">
      <alignment horizontal="center" vertical="center" wrapText="1"/>
      <protection locked="0"/>
    </xf>
    <xf numFmtId="3" fontId="37" fillId="6" borderId="266" xfId="0" applyNumberFormat="1" applyFont="1" applyFill="1" applyBorder="1" applyAlignment="1" applyProtection="1">
      <alignment horizontal="center" vertical="center" wrapText="1"/>
      <protection locked="0"/>
    </xf>
    <xf numFmtId="3" fontId="37" fillId="6" borderId="267" xfId="0" applyNumberFormat="1" applyFont="1" applyFill="1" applyBorder="1" applyAlignment="1" applyProtection="1">
      <alignment horizontal="center" vertical="center" wrapText="1"/>
      <protection locked="0"/>
    </xf>
    <xf numFmtId="3" fontId="54" fillId="5" borderId="265" xfId="2" applyNumberFormat="1" applyFont="1" applyFill="1" applyBorder="1" applyAlignment="1">
      <alignment horizontal="center" vertical="center" wrapText="1"/>
    </xf>
    <xf numFmtId="3" fontId="54" fillId="5" borderId="266" xfId="2" applyNumberFormat="1" applyFont="1" applyFill="1" applyBorder="1" applyAlignment="1">
      <alignment horizontal="center" vertical="center" wrapText="1"/>
    </xf>
    <xf numFmtId="3" fontId="54" fillId="5" borderId="267" xfId="2" applyNumberFormat="1" applyFont="1" applyFill="1" applyBorder="1" applyAlignment="1">
      <alignment horizontal="center" vertical="center" wrapText="1"/>
    </xf>
    <xf numFmtId="3" fontId="69" fillId="2" borderId="265" xfId="0" applyNumberFormat="1" applyFont="1" applyFill="1" applyBorder="1" applyAlignment="1">
      <alignment horizontal="center" vertical="center"/>
    </xf>
    <xf numFmtId="3" fontId="69" fillId="2" borderId="267" xfId="0" applyNumberFormat="1" applyFont="1" applyFill="1" applyBorder="1" applyAlignment="1">
      <alignment horizontal="center" vertical="center"/>
    </xf>
    <xf numFmtId="3" fontId="69" fillId="2" borderId="260" xfId="0" applyNumberFormat="1" applyFont="1" applyFill="1" applyBorder="1" applyAlignment="1">
      <alignment horizontal="center" vertical="center"/>
    </xf>
    <xf numFmtId="3" fontId="69" fillId="2" borderId="261" xfId="0" applyNumberFormat="1" applyFont="1" applyFill="1" applyBorder="1" applyAlignment="1">
      <alignment horizontal="center" vertical="center"/>
    </xf>
    <xf numFmtId="0" fontId="0" fillId="0" borderId="265" xfId="0" applyBorder="1"/>
    <xf numFmtId="3" fontId="54" fillId="3" borderId="275" xfId="0" applyNumberFormat="1" applyFont="1" applyFill="1" applyBorder="1" applyAlignment="1">
      <alignment horizontal="center" vertical="center"/>
    </xf>
    <xf numFmtId="3" fontId="37" fillId="3" borderId="275" xfId="0" applyNumberFormat="1" applyFont="1" applyFill="1" applyBorder="1" applyAlignment="1">
      <alignment horizontal="center" vertical="center"/>
    </xf>
    <xf numFmtId="3" fontId="60" fillId="2" borderId="10" xfId="0" applyNumberFormat="1" applyFont="1" applyFill="1" applyBorder="1" applyAlignment="1">
      <alignment horizontal="center" vertical="center" wrapText="1"/>
    </xf>
    <xf numFmtId="3" fontId="60" fillId="2" borderId="263" xfId="0" applyNumberFormat="1" applyFont="1" applyFill="1" applyBorder="1" applyAlignment="1">
      <alignment horizontal="center" vertical="center" wrapText="1"/>
    </xf>
    <xf numFmtId="3" fontId="60" fillId="2" borderId="263" xfId="0" applyNumberFormat="1" applyFont="1" applyFill="1" applyBorder="1" applyAlignment="1">
      <alignment horizontal="center" vertical="center"/>
    </xf>
    <xf numFmtId="3" fontId="59" fillId="3" borderId="263" xfId="0" applyNumberFormat="1" applyFont="1" applyFill="1" applyBorder="1" applyAlignment="1">
      <alignment horizontal="center" vertical="center"/>
    </xf>
    <xf numFmtId="3" fontId="60" fillId="3" borderId="263" xfId="0" applyNumberFormat="1" applyFont="1" applyFill="1" applyBorder="1" applyAlignment="1">
      <alignment horizontal="center" vertical="center"/>
    </xf>
    <xf numFmtId="3" fontId="59" fillId="3" borderId="220" xfId="0" applyNumberFormat="1" applyFont="1" applyFill="1" applyBorder="1" applyAlignment="1">
      <alignment horizontal="center" vertical="center"/>
    </xf>
    <xf numFmtId="3" fontId="60" fillId="2" borderId="265" xfId="0" applyNumberFormat="1" applyFont="1" applyFill="1" applyBorder="1" applyAlignment="1">
      <alignment horizontal="center" vertical="center" wrapText="1"/>
    </xf>
    <xf numFmtId="3" fontId="60" fillId="2" borderId="267" xfId="0" applyNumberFormat="1" applyFont="1" applyFill="1" applyBorder="1" applyAlignment="1">
      <alignment horizontal="center" vertical="center" wrapText="1"/>
    </xf>
    <xf numFmtId="3" fontId="59" fillId="3" borderId="265" xfId="0" applyNumberFormat="1" applyFont="1" applyFill="1" applyBorder="1" applyAlignment="1">
      <alignment horizontal="center" vertical="center" wrapText="1"/>
    </xf>
    <xf numFmtId="3" fontId="60" fillId="3" borderId="265" xfId="0" applyNumberFormat="1" applyFont="1" applyFill="1" applyBorder="1" applyAlignment="1">
      <alignment horizontal="center" vertical="center" wrapText="1"/>
    </xf>
    <xf numFmtId="3" fontId="60" fillId="3" borderId="267" xfId="0" applyNumberFormat="1" applyFont="1" applyFill="1" applyBorder="1" applyAlignment="1">
      <alignment horizontal="center" vertical="center" wrapText="1"/>
    </xf>
    <xf numFmtId="0" fontId="62" fillId="0" borderId="265" xfId="0" applyFont="1" applyBorder="1"/>
    <xf numFmtId="0" fontId="62" fillId="0" borderId="260" xfId="0" applyFont="1" applyBorder="1"/>
    <xf numFmtId="3" fontId="46" fillId="3" borderId="261" xfId="0" applyNumberFormat="1" applyFont="1" applyFill="1" applyBorder="1" applyAlignment="1">
      <alignment horizontal="center" vertical="center" wrapText="1"/>
    </xf>
    <xf numFmtId="0" fontId="0" fillId="0" borderId="70" xfId="0" applyBorder="1"/>
    <xf numFmtId="3" fontId="24" fillId="0" borderId="265" xfId="0" applyNumberFormat="1" applyFont="1" applyBorder="1" applyAlignment="1">
      <alignment horizontal="center" vertical="center"/>
    </xf>
    <xf numFmtId="49" fontId="10" fillId="3" borderId="272" xfId="2" applyNumberFormat="1" applyFont="1" applyFill="1" applyBorder="1" applyAlignment="1">
      <alignment horizontal="center" vertical="center" wrapText="1"/>
    </xf>
    <xf numFmtId="49" fontId="10" fillId="3" borderId="266" xfId="2" applyNumberFormat="1" applyFont="1" applyFill="1" applyBorder="1" applyAlignment="1">
      <alignment horizontal="center" vertical="center" wrapText="1"/>
    </xf>
    <xf numFmtId="49" fontId="10" fillId="8" borderId="266" xfId="2" applyNumberFormat="1" applyFont="1" applyFill="1" applyBorder="1" applyAlignment="1">
      <alignment horizontal="center" vertical="center" wrapText="1"/>
    </xf>
    <xf numFmtId="3" fontId="9" fillId="3" borderId="270" xfId="0" applyNumberFormat="1" applyFont="1" applyFill="1" applyBorder="1" applyAlignment="1">
      <alignment horizontal="center" vertical="center"/>
    </xf>
    <xf numFmtId="3" fontId="10" fillId="8" borderId="265" xfId="6" applyNumberFormat="1" applyFont="1" applyFill="1" applyBorder="1" applyAlignment="1">
      <alignment horizontal="center" vertical="center"/>
    </xf>
    <xf numFmtId="3" fontId="10" fillId="0" borderId="263" xfId="5" applyNumberFormat="1" applyFont="1" applyBorder="1" applyAlignment="1">
      <alignment horizontal="center" vertical="center"/>
    </xf>
    <xf numFmtId="3" fontId="10" fillId="8" borderId="263" xfId="2" applyNumberFormat="1" applyFont="1" applyFill="1" applyBorder="1" applyAlignment="1">
      <alignment horizontal="center" vertical="center" wrapText="1"/>
    </xf>
    <xf numFmtId="3" fontId="10" fillId="8" borderId="263" xfId="2" applyNumberFormat="1" applyFont="1" applyFill="1" applyBorder="1" applyAlignment="1">
      <alignment horizontal="center" vertical="center"/>
    </xf>
    <xf numFmtId="3" fontId="28" fillId="8" borderId="263" xfId="5" applyNumberFormat="1" applyFont="1" applyFill="1" applyBorder="1" applyAlignment="1">
      <alignment horizontal="center" vertical="center"/>
    </xf>
    <xf numFmtId="3" fontId="9" fillId="8" borderId="265" xfId="6" applyNumberFormat="1" applyFont="1" applyFill="1" applyBorder="1" applyAlignment="1">
      <alignment horizontal="center" vertical="center"/>
    </xf>
    <xf numFmtId="3" fontId="9" fillId="8" borderId="265" xfId="2" applyNumberFormat="1" applyFont="1" applyFill="1" applyBorder="1" applyAlignment="1">
      <alignment horizontal="center" vertical="center" wrapText="1"/>
    </xf>
    <xf numFmtId="3" fontId="28" fillId="8" borderId="265" xfId="2" applyNumberFormat="1" applyFont="1" applyFill="1" applyBorder="1" applyAlignment="1">
      <alignment horizontal="center" vertical="center" wrapText="1"/>
    </xf>
    <xf numFmtId="3" fontId="24" fillId="3" borderId="265" xfId="5" applyNumberFormat="1" applyFont="1" applyFill="1" applyBorder="1" applyAlignment="1">
      <alignment horizontal="center" vertical="center"/>
    </xf>
    <xf numFmtId="3" fontId="10" fillId="8" borderId="265" xfId="2" applyNumberFormat="1" applyFont="1" applyFill="1" applyBorder="1" applyAlignment="1">
      <alignment horizontal="center" vertical="center" wrapText="1"/>
    </xf>
    <xf numFmtId="3" fontId="10" fillId="8" borderId="265" xfId="2" applyNumberFormat="1" applyFont="1" applyFill="1" applyBorder="1" applyAlignment="1">
      <alignment horizontal="center" vertical="center"/>
    </xf>
    <xf numFmtId="3" fontId="142" fillId="3" borderId="266" xfId="4" applyNumberFormat="1" applyFont="1" applyFill="1" applyBorder="1" applyAlignment="1">
      <alignment horizontal="center" vertical="center" wrapText="1"/>
    </xf>
    <xf numFmtId="3" fontId="61" fillId="0" borderId="0" xfId="0" applyNumberFormat="1" applyFont="1" applyAlignment="1"/>
    <xf numFmtId="3" fontId="56" fillId="2" borderId="0" xfId="0" applyNumberFormat="1" applyFont="1" applyFill="1" applyBorder="1" applyAlignment="1">
      <alignment horizontal="center" textRotation="255" wrapText="1"/>
    </xf>
    <xf numFmtId="0" fontId="61" fillId="0" borderId="0" xfId="0" applyFont="1" applyBorder="1" applyAlignment="1">
      <alignment horizontal="center" vertical="center"/>
    </xf>
    <xf numFmtId="0" fontId="58" fillId="3" borderId="70" xfId="0" applyFont="1" applyFill="1" applyBorder="1"/>
    <xf numFmtId="3" fontId="58" fillId="3" borderId="70" xfId="0" applyNumberFormat="1" applyFont="1" applyFill="1" applyBorder="1"/>
    <xf numFmtId="0" fontId="61" fillId="3" borderId="0" xfId="0" applyFont="1" applyFill="1" applyBorder="1" applyAlignment="1">
      <alignment horizontal="center" vertical="center"/>
    </xf>
    <xf numFmtId="3" fontId="143" fillId="3" borderId="0" xfId="0" applyNumberFormat="1" applyFont="1" applyFill="1" applyBorder="1" applyAlignment="1">
      <alignment horizontal="center" vertical="center"/>
    </xf>
    <xf numFmtId="0" fontId="61" fillId="3" borderId="0" xfId="0" applyFont="1" applyFill="1" applyBorder="1"/>
    <xf numFmtId="3" fontId="47" fillId="2" borderId="262" xfId="0" applyNumberFormat="1" applyFont="1" applyFill="1" applyBorder="1" applyAlignment="1">
      <alignment horizontal="center" vertical="center"/>
    </xf>
    <xf numFmtId="3" fontId="47" fillId="5" borderId="263" xfId="2" applyNumberFormat="1" applyFont="1" applyFill="1" applyBorder="1" applyAlignment="1">
      <alignment horizontal="center" vertical="center" wrapText="1"/>
    </xf>
    <xf numFmtId="3" fontId="47" fillId="9" borderId="263" xfId="2" applyNumberFormat="1" applyFont="1" applyFill="1" applyBorder="1" applyAlignment="1">
      <alignment horizontal="center" vertical="center" wrapText="1"/>
    </xf>
    <xf numFmtId="3" fontId="46" fillId="9" borderId="263" xfId="2" applyNumberFormat="1" applyFont="1" applyFill="1" applyBorder="1" applyAlignment="1">
      <alignment horizontal="center" vertical="center" wrapText="1"/>
    </xf>
    <xf numFmtId="3" fontId="47" fillId="3" borderId="263" xfId="0" applyNumberFormat="1" applyFont="1" applyFill="1" applyBorder="1" applyAlignment="1">
      <alignment horizontal="center" vertical="center" wrapText="1"/>
    </xf>
    <xf numFmtId="3" fontId="47" fillId="2" borderId="263" xfId="0" applyNumberFormat="1" applyFont="1" applyFill="1" applyBorder="1" applyAlignment="1">
      <alignment horizontal="center" vertical="center" wrapText="1"/>
    </xf>
    <xf numFmtId="3" fontId="46" fillId="3" borderId="263" xfId="0" applyNumberFormat="1" applyFont="1" applyFill="1" applyBorder="1" applyAlignment="1">
      <alignment horizontal="center" vertical="center" wrapText="1"/>
    </xf>
    <xf numFmtId="3" fontId="47" fillId="8" borderId="263" xfId="2" applyNumberFormat="1" applyFont="1" applyFill="1" applyBorder="1" applyAlignment="1">
      <alignment horizontal="center" vertical="center"/>
    </xf>
    <xf numFmtId="3" fontId="58" fillId="2" borderId="262" xfId="0" applyNumberFormat="1" applyFont="1" applyFill="1" applyBorder="1"/>
    <xf numFmtId="3" fontId="60" fillId="9" borderId="263" xfId="2" applyNumberFormat="1" applyFont="1" applyFill="1" applyBorder="1" applyAlignment="1">
      <alignment horizontal="center" vertical="center" wrapText="1"/>
    </xf>
    <xf numFmtId="3" fontId="47" fillId="4" borderId="263" xfId="0" applyNumberFormat="1" applyFont="1" applyFill="1" applyBorder="1" applyAlignment="1">
      <alignment horizontal="center" vertical="center"/>
    </xf>
    <xf numFmtId="3" fontId="143" fillId="2" borderId="263" xfId="0" applyNumberFormat="1" applyFont="1" applyFill="1" applyBorder="1" applyAlignment="1">
      <alignment horizontal="center" vertical="center"/>
    </xf>
    <xf numFmtId="3" fontId="83" fillId="3" borderId="263" xfId="0" applyNumberFormat="1" applyFont="1" applyFill="1" applyBorder="1" applyAlignment="1">
      <alignment horizontal="center" vertical="center" wrapText="1"/>
    </xf>
    <xf numFmtId="3" fontId="142" fillId="3" borderId="263" xfId="0" applyNumberFormat="1" applyFont="1" applyFill="1" applyBorder="1" applyAlignment="1">
      <alignment horizontal="center" vertical="center" wrapText="1"/>
    </xf>
    <xf numFmtId="3" fontId="47" fillId="2" borderId="271" xfId="0" applyNumberFormat="1" applyFont="1" applyFill="1" applyBorder="1" applyAlignment="1">
      <alignment horizontal="center" vertical="center"/>
    </xf>
    <xf numFmtId="3" fontId="59" fillId="2" borderId="263" xfId="0" applyNumberFormat="1" applyFont="1" applyFill="1" applyBorder="1" applyAlignment="1">
      <alignment horizontal="center" vertical="center"/>
    </xf>
    <xf numFmtId="3" fontId="46" fillId="2" borderId="263" xfId="0" applyNumberFormat="1" applyFont="1" applyFill="1" applyBorder="1" applyAlignment="1">
      <alignment horizontal="center" vertical="center"/>
    </xf>
    <xf numFmtId="0" fontId="58" fillId="2" borderId="277" xfId="0" applyFont="1" applyFill="1" applyBorder="1"/>
    <xf numFmtId="0" fontId="58" fillId="2" borderId="24" xfId="0" applyFont="1" applyFill="1" applyBorder="1"/>
    <xf numFmtId="0" fontId="58" fillId="2" borderId="278" xfId="0" applyFont="1" applyFill="1" applyBorder="1"/>
    <xf numFmtId="3" fontId="47" fillId="6" borderId="266" xfId="0" applyNumberFormat="1" applyFont="1" applyFill="1" applyBorder="1" applyAlignment="1" applyProtection="1">
      <alignment horizontal="center" vertical="center" wrapText="1"/>
      <protection locked="0"/>
    </xf>
    <xf numFmtId="3" fontId="47" fillId="6" borderId="267" xfId="0" applyNumberFormat="1" applyFont="1" applyFill="1" applyBorder="1" applyAlignment="1" applyProtection="1">
      <alignment horizontal="center" vertical="center" wrapText="1"/>
      <protection locked="0"/>
    </xf>
    <xf numFmtId="3" fontId="47" fillId="5" borderId="266" xfId="2" applyNumberFormat="1" applyFont="1" applyFill="1" applyBorder="1" applyAlignment="1">
      <alignment horizontal="center" vertical="center" wrapText="1"/>
    </xf>
    <xf numFmtId="3" fontId="47" fillId="5" borderId="267" xfId="2" applyNumberFormat="1" applyFont="1" applyFill="1" applyBorder="1" applyAlignment="1">
      <alignment horizontal="center" vertical="center" wrapText="1"/>
    </xf>
    <xf numFmtId="3" fontId="60" fillId="9" borderId="267" xfId="2" applyNumberFormat="1" applyFont="1" applyFill="1" applyBorder="1" applyAlignment="1">
      <alignment horizontal="center" vertical="center" wrapText="1"/>
    </xf>
    <xf numFmtId="3" fontId="59" fillId="2" borderId="267" xfId="0" applyNumberFormat="1" applyFont="1" applyFill="1" applyBorder="1" applyAlignment="1">
      <alignment horizontal="center" vertical="center"/>
    </xf>
    <xf numFmtId="49" fontId="9" fillId="8" borderId="0" xfId="2" applyNumberFormat="1" applyFont="1" applyFill="1" applyBorder="1" applyAlignment="1">
      <alignment horizontal="center" vertical="center" wrapText="1"/>
    </xf>
    <xf numFmtId="0" fontId="10" fillId="8" borderId="0" xfId="2" applyFont="1" applyFill="1" applyBorder="1" applyAlignment="1">
      <alignment horizontal="left" vertical="center" wrapText="1"/>
    </xf>
    <xf numFmtId="0" fontId="117" fillId="0" borderId="0" xfId="0" applyFont="1" applyAlignment="1">
      <alignment horizontal="center"/>
    </xf>
    <xf numFmtId="3" fontId="54" fillId="3" borderId="267" xfId="0" applyNumberFormat="1" applyFont="1" applyFill="1" applyBorder="1" applyAlignment="1">
      <alignment horizontal="center" vertical="center" wrapText="1"/>
    </xf>
    <xf numFmtId="3" fontId="56" fillId="2" borderId="47" xfId="0" applyNumberFormat="1" applyFont="1" applyFill="1" applyBorder="1" applyAlignment="1">
      <alignment horizontal="center" vertical="center" wrapText="1"/>
    </xf>
    <xf numFmtId="3" fontId="56" fillId="3" borderId="263" xfId="0" applyNumberFormat="1" applyFont="1" applyFill="1" applyBorder="1" applyAlignment="1">
      <alignment horizontal="center" vertical="center" wrapText="1"/>
    </xf>
    <xf numFmtId="3" fontId="68" fillId="3" borderId="263" xfId="0" applyNumberFormat="1" applyFont="1" applyFill="1" applyBorder="1" applyAlignment="1">
      <alignment horizontal="center" vertical="center" wrapText="1"/>
    </xf>
    <xf numFmtId="3" fontId="37" fillId="3" borderId="263" xfId="0" applyNumberFormat="1" applyFont="1" applyFill="1" applyBorder="1" applyAlignment="1">
      <alignment horizontal="center" vertical="center" wrapText="1"/>
    </xf>
    <xf numFmtId="3" fontId="54" fillId="3" borderId="263" xfId="0" applyNumberFormat="1" applyFont="1" applyFill="1" applyBorder="1" applyAlignment="1">
      <alignment horizontal="center" vertical="center" wrapText="1"/>
    </xf>
    <xf numFmtId="0" fontId="38" fillId="5" borderId="264" xfId="2" applyFont="1" applyFill="1" applyBorder="1" applyAlignment="1">
      <alignment horizontal="center" vertical="center" wrapText="1"/>
    </xf>
    <xf numFmtId="0" fontId="9" fillId="5" borderId="264" xfId="2" applyFont="1" applyFill="1" applyBorder="1" applyAlignment="1">
      <alignment horizontal="left" vertical="center" wrapText="1"/>
    </xf>
    <xf numFmtId="0" fontId="9" fillId="8" borderId="264" xfId="2" applyFont="1" applyFill="1" applyBorder="1" applyAlignment="1">
      <alignment horizontal="left" vertical="center" wrapText="1"/>
    </xf>
    <xf numFmtId="0" fontId="10" fillId="8" borderId="264" xfId="2" applyFont="1" applyFill="1" applyBorder="1" applyAlignment="1" applyProtection="1">
      <alignment horizontal="left" vertical="center" wrapText="1"/>
      <protection locked="0"/>
    </xf>
    <xf numFmtId="0" fontId="9" fillId="8" borderId="264" xfId="2" applyFont="1" applyFill="1" applyBorder="1" applyAlignment="1" applyProtection="1">
      <alignment horizontal="left" vertical="center" wrapText="1"/>
      <protection locked="0"/>
    </xf>
    <xf numFmtId="0" fontId="10" fillId="8" borderId="274" xfId="2" applyFont="1" applyFill="1" applyBorder="1" applyAlignment="1" applyProtection="1">
      <alignment horizontal="left" vertical="center" wrapText="1"/>
      <protection locked="0"/>
    </xf>
    <xf numFmtId="3" fontId="19" fillId="2" borderId="263" xfId="0" applyNumberFormat="1" applyFont="1" applyFill="1" applyBorder="1" applyAlignment="1">
      <alignment horizontal="center" vertical="center"/>
    </xf>
    <xf numFmtId="3" fontId="4" fillId="0" borderId="265" xfId="6" applyNumberFormat="1" applyFont="1" applyBorder="1" applyAlignment="1">
      <alignment horizontal="center" vertical="center"/>
    </xf>
    <xf numFmtId="0" fontId="9" fillId="3" borderId="264" xfId="0" applyFont="1" applyFill="1" applyBorder="1" applyAlignment="1">
      <alignment horizontal="left" vertical="center" wrapText="1"/>
    </xf>
    <xf numFmtId="165" fontId="10" fillId="8" borderId="264" xfId="2" applyNumberFormat="1" applyFont="1" applyFill="1" applyBorder="1" applyAlignment="1">
      <alignment horizontal="left" vertical="center" wrapText="1"/>
    </xf>
    <xf numFmtId="0" fontId="10" fillId="8" borderId="283" xfId="2" applyFont="1" applyFill="1" applyBorder="1" applyAlignment="1">
      <alignment horizontal="left" vertical="center" wrapText="1"/>
    </xf>
    <xf numFmtId="0" fontId="4" fillId="2" borderId="227" xfId="0" applyFont="1" applyFill="1" applyBorder="1"/>
    <xf numFmtId="0" fontId="4" fillId="2" borderId="284" xfId="0" applyFont="1" applyFill="1" applyBorder="1"/>
    <xf numFmtId="3" fontId="19" fillId="3" borderId="171" xfId="0" applyNumberFormat="1" applyFont="1" applyFill="1" applyBorder="1" applyAlignment="1">
      <alignment horizontal="center" vertical="center"/>
    </xf>
    <xf numFmtId="3" fontId="10" fillId="3" borderId="285" xfId="0" applyNumberFormat="1" applyFont="1" applyFill="1" applyBorder="1" applyAlignment="1">
      <alignment horizontal="center" vertical="center"/>
    </xf>
    <xf numFmtId="3" fontId="10" fillId="3" borderId="171" xfId="2" applyNumberFormat="1" applyFont="1" applyFill="1" applyBorder="1" applyAlignment="1">
      <alignment horizontal="center" vertical="center"/>
    </xf>
    <xf numFmtId="3" fontId="10" fillId="3" borderId="171" xfId="3" applyNumberFormat="1" applyFont="1" applyFill="1" applyBorder="1" applyAlignment="1">
      <alignment horizontal="center" vertical="center"/>
    </xf>
    <xf numFmtId="3" fontId="10" fillId="3" borderId="171" xfId="5" applyNumberFormat="1" applyFont="1" applyFill="1" applyBorder="1" applyAlignment="1">
      <alignment horizontal="center" vertical="center"/>
    </xf>
    <xf numFmtId="3" fontId="10" fillId="3" borderId="171" xfId="6" applyNumberFormat="1" applyFont="1" applyFill="1" applyBorder="1" applyAlignment="1">
      <alignment horizontal="center" vertical="center"/>
    </xf>
    <xf numFmtId="3" fontId="25" fillId="2" borderId="171" xfId="0" applyNumberFormat="1" applyFont="1" applyFill="1" applyBorder="1"/>
    <xf numFmtId="3" fontId="25" fillId="2" borderId="286" xfId="0" applyNumberFormat="1" applyFont="1" applyFill="1" applyBorder="1"/>
    <xf numFmtId="3" fontId="9" fillId="3" borderId="234" xfId="0" applyNumberFormat="1" applyFont="1" applyFill="1" applyBorder="1" applyAlignment="1">
      <alignment horizontal="center" vertical="center"/>
    </xf>
    <xf numFmtId="3" fontId="9" fillId="6" borderId="287" xfId="0" applyNumberFormat="1" applyFont="1" applyFill="1" applyBorder="1" applyAlignment="1" applyProtection="1">
      <alignment horizontal="center" vertical="center" wrapText="1"/>
      <protection locked="0"/>
    </xf>
    <xf numFmtId="3" fontId="39" fillId="5" borderId="287" xfId="2" applyNumberFormat="1" applyFont="1" applyFill="1" applyBorder="1" applyAlignment="1">
      <alignment horizontal="center" vertical="center" wrapText="1"/>
    </xf>
    <xf numFmtId="3" fontId="9" fillId="3" borderId="287" xfId="0" applyNumberFormat="1" applyFont="1" applyFill="1" applyBorder="1" applyAlignment="1">
      <alignment horizontal="center" vertical="center"/>
    </xf>
    <xf numFmtId="3" fontId="10" fillId="3" borderId="287" xfId="2" applyNumberFormat="1" applyFont="1" applyFill="1" applyBorder="1" applyAlignment="1">
      <alignment horizontal="center" vertical="center"/>
    </xf>
    <xf numFmtId="3" fontId="10" fillId="3" borderId="287" xfId="3" applyNumberFormat="1" applyFont="1" applyFill="1" applyBorder="1" applyAlignment="1">
      <alignment horizontal="center" vertical="center"/>
    </xf>
    <xf numFmtId="3" fontId="9" fillId="3" borderId="287" xfId="5" applyNumberFormat="1" applyFont="1" applyFill="1" applyBorder="1" applyAlignment="1">
      <alignment horizontal="center" vertical="center"/>
    </xf>
    <xf numFmtId="3" fontId="9" fillId="3" borderId="287" xfId="6" applyNumberFormat="1" applyFont="1" applyFill="1" applyBorder="1" applyAlignment="1">
      <alignment horizontal="center" vertical="center"/>
    </xf>
    <xf numFmtId="3" fontId="10" fillId="3" borderId="287" xfId="0" applyNumberFormat="1" applyFont="1" applyFill="1" applyBorder="1" applyAlignment="1">
      <alignment horizontal="center" vertical="center"/>
    </xf>
    <xf numFmtId="3" fontId="19" fillId="3" borderId="287" xfId="5" applyNumberFormat="1" applyFont="1" applyFill="1" applyBorder="1" applyAlignment="1">
      <alignment horizontal="center" vertical="center"/>
    </xf>
    <xf numFmtId="3" fontId="10" fillId="3" borderId="287" xfId="5" applyNumberFormat="1" applyFont="1" applyFill="1" applyBorder="1" applyAlignment="1">
      <alignment horizontal="center" vertical="center"/>
    </xf>
    <xf numFmtId="3" fontId="10" fillId="3" borderId="287" xfId="6" applyNumberFormat="1" applyFont="1" applyFill="1" applyBorder="1" applyAlignment="1">
      <alignment horizontal="center" vertical="center"/>
    </xf>
    <xf numFmtId="3" fontId="10" fillId="8" borderId="230" xfId="5" applyNumberFormat="1" applyFont="1" applyFill="1" applyBorder="1" applyAlignment="1">
      <alignment horizontal="center" vertical="center"/>
    </xf>
    <xf numFmtId="3" fontId="25" fillId="2" borderId="287" xfId="0" applyNumberFormat="1" applyFont="1" applyFill="1" applyBorder="1"/>
    <xf numFmtId="0" fontId="25" fillId="2" borderId="222" xfId="0" applyFont="1" applyFill="1" applyBorder="1"/>
    <xf numFmtId="3" fontId="25" fillId="2" borderId="230" xfId="0" applyNumberFormat="1" applyFont="1" applyFill="1" applyBorder="1"/>
    <xf numFmtId="3" fontId="25" fillId="2" borderId="222" xfId="0" applyNumberFormat="1" applyFont="1" applyFill="1" applyBorder="1"/>
    <xf numFmtId="3" fontId="25" fillId="2" borderId="288" xfId="0" applyNumberFormat="1" applyFont="1" applyFill="1" applyBorder="1"/>
    <xf numFmtId="3" fontId="25" fillId="2" borderId="289" xfId="0" applyNumberFormat="1" applyFont="1" applyFill="1" applyBorder="1"/>
    <xf numFmtId="3" fontId="25" fillId="2" borderId="290" xfId="0" applyNumberFormat="1" applyFont="1" applyFill="1" applyBorder="1"/>
    <xf numFmtId="3" fontId="7" fillId="3" borderId="287" xfId="6" applyNumberFormat="1" applyFont="1" applyFill="1" applyBorder="1" applyAlignment="1">
      <alignment horizontal="center" vertical="center"/>
    </xf>
    <xf numFmtId="3" fontId="24" fillId="3" borderId="287" xfId="6" applyNumberFormat="1" applyFont="1" applyFill="1" applyBorder="1" applyAlignment="1">
      <alignment horizontal="center" vertical="center"/>
    </xf>
    <xf numFmtId="3" fontId="24" fillId="3" borderId="230" xfId="0" applyNumberFormat="1" applyFont="1" applyFill="1" applyBorder="1" applyAlignment="1">
      <alignment horizontal="center" vertical="center"/>
    </xf>
    <xf numFmtId="3" fontId="24" fillId="3" borderId="227" xfId="0" applyNumberFormat="1" applyFont="1" applyFill="1" applyBorder="1" applyAlignment="1">
      <alignment horizontal="center" vertical="center"/>
    </xf>
    <xf numFmtId="3" fontId="9" fillId="3" borderId="291" xfId="0" applyNumberFormat="1" applyFont="1" applyFill="1" applyBorder="1" applyAlignment="1">
      <alignment horizontal="center" vertical="center"/>
    </xf>
    <xf numFmtId="0" fontId="4" fillId="3" borderId="291" xfId="0" applyFont="1" applyFill="1" applyBorder="1"/>
    <xf numFmtId="3" fontId="9" fillId="6" borderId="264" xfId="0" applyNumberFormat="1" applyFont="1" applyFill="1" applyBorder="1" applyAlignment="1" applyProtection="1">
      <alignment horizontal="center" vertical="center" wrapText="1"/>
      <protection locked="0"/>
    </xf>
    <xf numFmtId="3" fontId="39" fillId="5" borderId="264" xfId="2" applyNumberFormat="1" applyFont="1" applyFill="1" applyBorder="1" applyAlignment="1">
      <alignment horizontal="center" vertical="center" wrapText="1"/>
    </xf>
    <xf numFmtId="3" fontId="9" fillId="3" borderId="264" xfId="0" applyNumberFormat="1" applyFont="1" applyFill="1" applyBorder="1" applyAlignment="1">
      <alignment horizontal="center" vertical="center"/>
    </xf>
    <xf numFmtId="3" fontId="4" fillId="3" borderId="266" xfId="0" applyNumberFormat="1" applyFont="1" applyFill="1" applyBorder="1" applyAlignment="1">
      <alignment horizontal="center" vertical="center"/>
    </xf>
    <xf numFmtId="3" fontId="13" fillId="8" borderId="264" xfId="5" applyNumberFormat="1" applyFont="1" applyFill="1" applyBorder="1" applyAlignment="1">
      <alignment horizontal="center" vertical="center"/>
    </xf>
    <xf numFmtId="3" fontId="13" fillId="3" borderId="264" xfId="0" applyNumberFormat="1" applyFont="1" applyFill="1" applyBorder="1" applyAlignment="1">
      <alignment horizontal="center" vertical="center"/>
    </xf>
    <xf numFmtId="3" fontId="10" fillId="3" borderId="264" xfId="0" applyNumberFormat="1" applyFont="1" applyFill="1" applyBorder="1" applyAlignment="1">
      <alignment horizontal="center" vertical="center"/>
    </xf>
    <xf numFmtId="3" fontId="4" fillId="3" borderId="264" xfId="0" applyNumberFormat="1" applyFont="1" applyFill="1" applyBorder="1" applyAlignment="1">
      <alignment horizontal="center" vertical="center"/>
    </xf>
    <xf numFmtId="3" fontId="10" fillId="3" borderId="274" xfId="0" applyNumberFormat="1" applyFont="1" applyFill="1" applyBorder="1" applyAlignment="1">
      <alignment horizontal="center" vertical="center"/>
    </xf>
    <xf numFmtId="3" fontId="10" fillId="3" borderId="176" xfId="6" applyNumberFormat="1" applyFont="1" applyFill="1" applyBorder="1" applyAlignment="1">
      <alignment horizontal="center" vertical="center"/>
    </xf>
    <xf numFmtId="0" fontId="23" fillId="2" borderId="266" xfId="0" applyFont="1" applyFill="1" applyBorder="1"/>
    <xf numFmtId="3" fontId="23" fillId="2" borderId="289" xfId="0" applyNumberFormat="1" applyFont="1" applyFill="1" applyBorder="1"/>
    <xf numFmtId="3" fontId="4" fillId="3" borderId="265" xfId="6" applyNumberFormat="1" applyFont="1" applyFill="1" applyBorder="1" applyAlignment="1">
      <alignment horizontal="center" vertical="center"/>
    </xf>
    <xf numFmtId="3" fontId="9" fillId="3" borderId="273" xfId="0" applyNumberFormat="1" applyFont="1" applyFill="1" applyBorder="1" applyAlignment="1">
      <alignment horizontal="center" vertical="center"/>
    </xf>
    <xf numFmtId="3" fontId="9" fillId="3" borderId="275" xfId="0" applyNumberFormat="1" applyFont="1" applyFill="1" applyBorder="1" applyAlignment="1">
      <alignment horizontal="center" vertical="center"/>
    </xf>
    <xf numFmtId="3" fontId="10" fillId="3" borderId="275" xfId="0" applyNumberFormat="1" applyFont="1" applyFill="1" applyBorder="1" applyAlignment="1">
      <alignment horizontal="center" vertical="center"/>
    </xf>
    <xf numFmtId="3" fontId="56" fillId="2" borderId="45" xfId="0" applyNumberFormat="1" applyFont="1" applyFill="1" applyBorder="1" applyAlignment="1">
      <alignment horizontal="center" vertical="center" wrapText="1"/>
    </xf>
    <xf numFmtId="3" fontId="56" fillId="2" borderId="8" xfId="0" applyNumberFormat="1" applyFont="1" applyFill="1" applyBorder="1" applyAlignment="1">
      <alignment horizontal="center" vertical="center" wrapText="1"/>
    </xf>
    <xf numFmtId="3" fontId="56" fillId="2" borderId="44" xfId="0" applyNumberFormat="1" applyFont="1" applyFill="1" applyBorder="1" applyAlignment="1">
      <alignment horizontal="center" vertical="center" wrapText="1"/>
    </xf>
    <xf numFmtId="0" fontId="117" fillId="0" borderId="0" xfId="0" applyFont="1" applyAlignment="1">
      <alignment horizontal="center"/>
    </xf>
    <xf numFmtId="49" fontId="119" fillId="3" borderId="272" xfId="0" applyNumberFormat="1" applyFont="1" applyFill="1" applyBorder="1" applyAlignment="1">
      <alignment horizontal="center" vertical="center" wrapText="1"/>
    </xf>
    <xf numFmtId="49" fontId="119" fillId="3" borderId="266" xfId="0" applyNumberFormat="1" applyFont="1" applyFill="1" applyBorder="1" applyAlignment="1">
      <alignment horizontal="center" vertical="center" wrapText="1"/>
    </xf>
    <xf numFmtId="49" fontId="119" fillId="3" borderId="266" xfId="2" applyNumberFormat="1" applyFont="1" applyFill="1" applyBorder="1" applyAlignment="1">
      <alignment horizontal="center" vertical="center" wrapText="1"/>
    </xf>
    <xf numFmtId="3" fontId="119" fillId="3" borderId="266" xfId="0" applyNumberFormat="1" applyFont="1" applyFill="1" applyBorder="1" applyAlignment="1">
      <alignment horizontal="center" vertical="center"/>
    </xf>
    <xf numFmtId="3" fontId="119" fillId="3" borderId="264" xfId="0" applyNumberFormat="1" applyFont="1" applyFill="1" applyBorder="1" applyAlignment="1">
      <alignment horizontal="center" vertical="center" wrapText="1"/>
    </xf>
    <xf numFmtId="3" fontId="46" fillId="3" borderId="287" xfId="0" applyNumberFormat="1" applyFont="1" applyFill="1" applyBorder="1" applyAlignment="1">
      <alignment horizontal="center" vertical="center"/>
    </xf>
    <xf numFmtId="3" fontId="118" fillId="9" borderId="291" xfId="2" applyNumberFormat="1" applyFont="1" applyFill="1" applyBorder="1" applyAlignment="1">
      <alignment horizontal="center" vertical="center" wrapText="1"/>
    </xf>
    <xf numFmtId="3" fontId="60" fillId="3" borderId="268" xfId="0" applyNumberFormat="1" applyFont="1" applyFill="1" applyBorder="1" applyAlignment="1">
      <alignment horizontal="center" vertical="center"/>
    </xf>
    <xf numFmtId="3" fontId="148" fillId="5" borderId="263" xfId="2" applyNumberFormat="1" applyFont="1" applyFill="1" applyBorder="1" applyAlignment="1">
      <alignment horizontal="center" vertical="center" wrapText="1"/>
    </xf>
    <xf numFmtId="3" fontId="148" fillId="5" borderId="266" xfId="2" applyNumberFormat="1" applyFont="1" applyFill="1" applyBorder="1" applyAlignment="1">
      <alignment horizontal="center" vertical="center" wrapText="1"/>
    </xf>
    <xf numFmtId="3" fontId="148" fillId="5" borderId="267" xfId="2" applyNumberFormat="1" applyFont="1" applyFill="1" applyBorder="1" applyAlignment="1">
      <alignment horizontal="center" vertical="center" wrapText="1"/>
    </xf>
    <xf numFmtId="3" fontId="148" fillId="5" borderId="275" xfId="2" applyNumberFormat="1" applyFont="1" applyFill="1" applyBorder="1" applyAlignment="1">
      <alignment horizontal="center" vertical="center" wrapText="1"/>
    </xf>
    <xf numFmtId="3" fontId="118" fillId="6" borderId="266" xfId="0" applyNumberFormat="1" applyFont="1" applyFill="1" applyBorder="1" applyAlignment="1" applyProtection="1">
      <alignment horizontal="center" vertical="center" wrapText="1"/>
      <protection locked="0"/>
    </xf>
    <xf numFmtId="3" fontId="118" fillId="2" borderId="264" xfId="0" applyNumberFormat="1" applyFont="1" applyFill="1" applyBorder="1" applyAlignment="1">
      <alignment horizontal="center" vertical="center"/>
    </xf>
    <xf numFmtId="3" fontId="47" fillId="6" borderId="287" xfId="0" applyNumberFormat="1" applyFont="1" applyFill="1" applyBorder="1" applyAlignment="1" applyProtection="1">
      <alignment horizontal="center" vertical="center" wrapText="1"/>
      <protection locked="0"/>
    </xf>
    <xf numFmtId="49" fontId="118" fillId="2" borderId="272" xfId="0" applyNumberFormat="1" applyFont="1" applyFill="1" applyBorder="1" applyAlignment="1">
      <alignment horizontal="center" vertical="center" textRotation="255" wrapText="1"/>
    </xf>
    <xf numFmtId="49" fontId="118" fillId="2" borderId="266" xfId="0" applyNumberFormat="1" applyFont="1" applyFill="1" applyBorder="1" applyAlignment="1">
      <alignment horizontal="center" vertical="center" textRotation="255" wrapText="1"/>
    </xf>
    <xf numFmtId="49" fontId="118" fillId="5" borderId="266" xfId="2" applyNumberFormat="1" applyFont="1" applyFill="1" applyBorder="1" applyAlignment="1">
      <alignment horizontal="center" vertical="center" textRotation="255" wrapText="1"/>
    </xf>
    <xf numFmtId="3" fontId="118" fillId="5" borderId="266" xfId="2" applyNumberFormat="1" applyFont="1" applyFill="1" applyBorder="1" applyAlignment="1">
      <alignment horizontal="center" vertical="center" wrapText="1"/>
    </xf>
    <xf numFmtId="3" fontId="118" fillId="5" borderId="264" xfId="2" applyNumberFormat="1" applyFont="1" applyFill="1" applyBorder="1" applyAlignment="1">
      <alignment horizontal="center" vertical="center" wrapText="1"/>
    </xf>
    <xf numFmtId="3" fontId="148" fillId="5" borderId="287" xfId="2" applyNumberFormat="1" applyFont="1" applyFill="1" applyBorder="1" applyAlignment="1">
      <alignment horizontal="center" vertical="center" wrapText="1"/>
    </xf>
    <xf numFmtId="3" fontId="148" fillId="5" borderId="273" xfId="2" applyNumberFormat="1" applyFont="1" applyFill="1" applyBorder="1" applyAlignment="1">
      <alignment horizontal="center" vertical="center" wrapText="1"/>
    </xf>
    <xf numFmtId="49" fontId="118" fillId="2" borderId="272" xfId="0" applyNumberFormat="1" applyFont="1" applyFill="1" applyBorder="1" applyAlignment="1">
      <alignment horizontal="center" vertical="center" wrapText="1"/>
    </xf>
    <xf numFmtId="49" fontId="118" fillId="2" borderId="266" xfId="0" applyNumberFormat="1" applyFont="1" applyFill="1" applyBorder="1" applyAlignment="1">
      <alignment horizontal="center" vertical="center" wrapText="1"/>
    </xf>
    <xf numFmtId="49" fontId="118" fillId="5" borderId="266" xfId="2" applyNumberFormat="1" applyFont="1" applyFill="1" applyBorder="1" applyAlignment="1">
      <alignment horizontal="center" vertical="center" wrapText="1"/>
    </xf>
    <xf numFmtId="3" fontId="47" fillId="5" borderId="287" xfId="2" applyNumberFormat="1" applyFont="1" applyFill="1" applyBorder="1" applyAlignment="1">
      <alignment horizontal="center" vertical="center" wrapText="1"/>
    </xf>
    <xf numFmtId="3" fontId="118" fillId="5" borderId="291" xfId="2" applyNumberFormat="1" applyFont="1" applyFill="1" applyBorder="1" applyAlignment="1">
      <alignment horizontal="center" vertical="center" wrapText="1"/>
    </xf>
    <xf numFmtId="3" fontId="118" fillId="4" borderId="266" xfId="0" applyNumberFormat="1" applyFont="1" applyFill="1" applyBorder="1" applyAlignment="1">
      <alignment horizontal="center" vertical="center"/>
    </xf>
    <xf numFmtId="3" fontId="118" fillId="9" borderId="264" xfId="2" applyNumberFormat="1" applyFont="1" applyFill="1" applyBorder="1" applyAlignment="1">
      <alignment horizontal="center" vertical="center" wrapText="1"/>
    </xf>
    <xf numFmtId="3" fontId="47" fillId="3" borderId="287" xfId="0" applyNumberFormat="1" applyFont="1" applyFill="1" applyBorder="1" applyAlignment="1">
      <alignment horizontal="center" vertical="center"/>
    </xf>
    <xf numFmtId="3" fontId="47" fillId="9" borderId="287" xfId="2" applyNumberFormat="1" applyFont="1" applyFill="1" applyBorder="1" applyAlignment="1">
      <alignment horizontal="center" vertical="center" wrapText="1"/>
    </xf>
    <xf numFmtId="3" fontId="119" fillId="9" borderId="264" xfId="2" applyNumberFormat="1" applyFont="1" applyFill="1" applyBorder="1" applyAlignment="1">
      <alignment horizontal="center" vertical="center" wrapText="1"/>
    </xf>
    <xf numFmtId="49" fontId="119" fillId="8" borderId="266" xfId="2" applyNumberFormat="1" applyFont="1" applyFill="1" applyBorder="1" applyAlignment="1">
      <alignment horizontal="center" vertical="center" wrapText="1"/>
    </xf>
    <xf numFmtId="0" fontId="120" fillId="0" borderId="266" xfId="0" applyFont="1" applyBorder="1"/>
    <xf numFmtId="49" fontId="118" fillId="8" borderId="266" xfId="2" applyNumberFormat="1" applyFont="1" applyFill="1" applyBorder="1" applyAlignment="1">
      <alignment horizontal="center" vertical="center" wrapText="1"/>
    </xf>
    <xf numFmtId="49" fontId="119" fillId="9" borderId="266" xfId="2" applyNumberFormat="1" applyFont="1" applyFill="1" applyBorder="1" applyAlignment="1">
      <alignment horizontal="center" vertical="center" wrapText="1"/>
    </xf>
    <xf numFmtId="3" fontId="119" fillId="3" borderId="266" xfId="0" applyNumberFormat="1" applyFont="1" applyFill="1" applyBorder="1" applyAlignment="1">
      <alignment horizontal="center" vertical="center" wrapText="1"/>
    </xf>
    <xf numFmtId="3" fontId="61" fillId="3" borderId="287" xfId="0" applyNumberFormat="1" applyFont="1" applyFill="1" applyBorder="1" applyAlignment="1">
      <alignment horizontal="center" vertical="center"/>
    </xf>
    <xf numFmtId="3" fontId="59" fillId="3" borderId="287" xfId="0" applyNumberFormat="1" applyFont="1" applyFill="1" applyBorder="1" applyAlignment="1">
      <alignment horizontal="center" vertical="center"/>
    </xf>
    <xf numFmtId="0" fontId="97" fillId="11" borderId="266" xfId="0" applyFont="1" applyFill="1" applyBorder="1" applyAlignment="1">
      <alignment wrapText="1"/>
    </xf>
    <xf numFmtId="3" fontId="84" fillId="3" borderId="287" xfId="0" applyNumberFormat="1" applyFont="1" applyFill="1" applyBorder="1" applyAlignment="1">
      <alignment horizontal="center" vertical="center"/>
    </xf>
    <xf numFmtId="49" fontId="118" fillId="4" borderId="266" xfId="2" applyNumberFormat="1" applyFont="1" applyFill="1" applyBorder="1" applyAlignment="1">
      <alignment horizontal="center" vertical="center" wrapText="1"/>
    </xf>
    <xf numFmtId="3" fontId="58" fillId="3" borderId="287" xfId="0" applyNumberFormat="1" applyFont="1" applyFill="1" applyBorder="1" applyAlignment="1">
      <alignment horizontal="center" vertical="center"/>
    </xf>
    <xf numFmtId="3" fontId="119" fillId="9" borderId="266" xfId="2" applyNumberFormat="1" applyFont="1" applyFill="1" applyBorder="1" applyAlignment="1">
      <alignment horizontal="center" vertical="center" wrapText="1"/>
    </xf>
    <xf numFmtId="3" fontId="118" fillId="9" borderId="266" xfId="2" applyNumberFormat="1" applyFont="1" applyFill="1" applyBorder="1" applyAlignment="1">
      <alignment horizontal="center" vertical="center" wrapText="1"/>
    </xf>
    <xf numFmtId="3" fontId="114" fillId="3" borderId="287" xfId="0" applyNumberFormat="1" applyFont="1" applyFill="1" applyBorder="1" applyAlignment="1">
      <alignment horizontal="center" vertical="center"/>
    </xf>
    <xf numFmtId="49" fontId="119" fillId="2" borderId="266" xfId="0" applyNumberFormat="1" applyFont="1" applyFill="1" applyBorder="1" applyAlignment="1">
      <alignment horizontal="center" vertical="center" wrapText="1"/>
    </xf>
    <xf numFmtId="3" fontId="118" fillId="2" borderId="266" xfId="0" applyNumberFormat="1" applyFont="1" applyFill="1" applyBorder="1" applyAlignment="1">
      <alignment horizontal="center" vertical="center"/>
    </xf>
    <xf numFmtId="3" fontId="47" fillId="2" borderId="287" xfId="0" applyNumberFormat="1" applyFont="1" applyFill="1" applyBorder="1" applyAlignment="1">
      <alignment horizontal="center" vertical="center"/>
    </xf>
    <xf numFmtId="49" fontId="119" fillId="4" borderId="272" xfId="0" applyNumberFormat="1" applyFont="1" applyFill="1" applyBorder="1" applyAlignment="1">
      <alignment horizontal="center" vertical="center" wrapText="1"/>
    </xf>
    <xf numFmtId="49" fontId="119" fillId="4" borderId="266" xfId="0" applyNumberFormat="1" applyFont="1" applyFill="1" applyBorder="1" applyAlignment="1">
      <alignment horizontal="center" vertical="center" wrapText="1"/>
    </xf>
    <xf numFmtId="3" fontId="46" fillId="4" borderId="287" xfId="0" applyNumberFormat="1" applyFont="1" applyFill="1" applyBorder="1" applyAlignment="1">
      <alignment horizontal="center" vertical="center"/>
    </xf>
    <xf numFmtId="49" fontId="119" fillId="0" borderId="272" xfId="0" applyNumberFormat="1" applyFont="1" applyBorder="1" applyAlignment="1">
      <alignment horizontal="center" vertical="center" wrapText="1"/>
    </xf>
    <xf numFmtId="49" fontId="119" fillId="0" borderId="266" xfId="0" applyNumberFormat="1" applyFont="1" applyBorder="1" applyAlignment="1">
      <alignment horizontal="center" vertical="center" wrapText="1"/>
    </xf>
    <xf numFmtId="49" fontId="119" fillId="13" borderId="266" xfId="2" applyNumberFormat="1" applyFont="1" applyFill="1" applyBorder="1" applyAlignment="1">
      <alignment horizontal="center" vertical="center" wrapText="1"/>
    </xf>
    <xf numFmtId="3" fontId="46" fillId="3" borderId="287" xfId="0" applyNumberFormat="1" applyFont="1" applyFill="1" applyBorder="1" applyAlignment="1">
      <alignment horizontal="center" vertical="center" wrapText="1"/>
    </xf>
    <xf numFmtId="49" fontId="118" fillId="4" borderId="272" xfId="0" applyNumberFormat="1" applyFont="1" applyFill="1" applyBorder="1" applyAlignment="1">
      <alignment horizontal="center" vertical="center" wrapText="1"/>
    </xf>
    <xf numFmtId="49" fontId="118" fillId="4" borderId="266" xfId="0" applyNumberFormat="1" applyFont="1" applyFill="1" applyBorder="1" applyAlignment="1">
      <alignment horizontal="center" vertical="center" wrapText="1"/>
    </xf>
    <xf numFmtId="3" fontId="118" fillId="3" borderId="264" xfId="0" applyNumberFormat="1" applyFont="1" applyFill="1" applyBorder="1" applyAlignment="1">
      <alignment horizontal="center" vertical="center" wrapText="1"/>
    </xf>
    <xf numFmtId="3" fontId="139" fillId="3" borderId="287" xfId="0" applyNumberFormat="1" applyFont="1" applyFill="1" applyBorder="1" applyAlignment="1">
      <alignment horizontal="center" vertical="center"/>
    </xf>
    <xf numFmtId="3" fontId="47" fillId="3" borderId="287" xfId="0" applyNumberFormat="1" applyFont="1" applyFill="1" applyBorder="1" applyAlignment="1">
      <alignment horizontal="center" vertical="center" wrapText="1"/>
    </xf>
    <xf numFmtId="3" fontId="118" fillId="3" borderId="266" xfId="0" applyNumberFormat="1" applyFont="1" applyFill="1" applyBorder="1" applyAlignment="1">
      <alignment horizontal="center" vertical="center" wrapText="1"/>
    </xf>
    <xf numFmtId="3" fontId="47" fillId="4" borderId="287" xfId="0" applyNumberFormat="1" applyFont="1" applyFill="1" applyBorder="1" applyAlignment="1">
      <alignment horizontal="center" vertical="center"/>
    </xf>
    <xf numFmtId="3" fontId="118" fillId="0" borderId="266" xfId="0" applyNumberFormat="1" applyFont="1" applyBorder="1" applyAlignment="1">
      <alignment horizontal="center" vertical="center"/>
    </xf>
    <xf numFmtId="3" fontId="47" fillId="0" borderId="287" xfId="0" applyNumberFormat="1" applyFont="1" applyBorder="1" applyAlignment="1">
      <alignment horizontal="center" vertical="center"/>
    </xf>
    <xf numFmtId="3" fontId="46" fillId="0" borderId="287" xfId="0" applyNumberFormat="1" applyFont="1" applyBorder="1" applyAlignment="1">
      <alignment horizontal="center" vertical="center"/>
    </xf>
    <xf numFmtId="49" fontId="118" fillId="0" borderId="272" xfId="0" applyNumberFormat="1" applyFont="1" applyBorder="1" applyAlignment="1">
      <alignment horizontal="center" vertical="center" wrapText="1"/>
    </xf>
    <xf numFmtId="49" fontId="118" fillId="0" borderId="266" xfId="0" applyNumberFormat="1" applyFont="1" applyBorder="1" applyAlignment="1">
      <alignment horizontal="center" vertical="center" wrapText="1"/>
    </xf>
    <xf numFmtId="3" fontId="118" fillId="2" borderId="264" xfId="0" applyNumberFormat="1" applyFont="1" applyFill="1" applyBorder="1" applyAlignment="1">
      <alignment horizontal="center" vertical="center" wrapText="1"/>
    </xf>
    <xf numFmtId="3" fontId="125" fillId="5" borderId="291" xfId="2" applyNumberFormat="1" applyFont="1" applyFill="1" applyBorder="1" applyAlignment="1">
      <alignment horizontal="center" vertical="center" wrapText="1"/>
    </xf>
    <xf numFmtId="3" fontId="118" fillId="8" borderId="264" xfId="2" applyNumberFormat="1" applyFont="1" applyFill="1" applyBorder="1" applyAlignment="1">
      <alignment horizontal="center" vertical="center"/>
    </xf>
    <xf numFmtId="3" fontId="140" fillId="3" borderId="287" xfId="0" applyNumberFormat="1" applyFont="1" applyFill="1" applyBorder="1" applyAlignment="1">
      <alignment horizontal="center" vertical="center"/>
    </xf>
    <xf numFmtId="3" fontId="119" fillId="3" borderId="266" xfId="4" applyNumberFormat="1" applyFont="1" applyFill="1" applyBorder="1" applyAlignment="1">
      <alignment horizontal="center" vertical="center" wrapText="1"/>
    </xf>
    <xf numFmtId="3" fontId="119" fillId="8" borderId="266" xfId="2" applyNumberFormat="1" applyFont="1" applyFill="1" applyBorder="1" applyAlignment="1">
      <alignment horizontal="center" vertical="center" wrapText="1"/>
    </xf>
    <xf numFmtId="3" fontId="83" fillId="8" borderId="266" xfId="2" applyNumberFormat="1" applyFont="1" applyFill="1" applyBorder="1" applyAlignment="1">
      <alignment horizontal="center" vertical="center" wrapText="1"/>
    </xf>
    <xf numFmtId="3" fontId="141" fillId="8" borderId="266" xfId="2" applyNumberFormat="1" applyFont="1" applyFill="1" applyBorder="1" applyAlignment="1">
      <alignment horizontal="center" vertical="center" wrapText="1"/>
    </xf>
    <xf numFmtId="3" fontId="118" fillId="3" borderId="266" xfId="4" applyNumberFormat="1" applyFont="1" applyFill="1" applyBorder="1" applyAlignment="1">
      <alignment horizontal="center" vertical="center" wrapText="1"/>
    </xf>
    <xf numFmtId="3" fontId="141" fillId="3" borderId="266" xfId="0" applyNumberFormat="1" applyFont="1" applyFill="1" applyBorder="1" applyAlignment="1">
      <alignment horizontal="center" vertical="center" wrapText="1"/>
    </xf>
    <xf numFmtId="3" fontId="83" fillId="3" borderId="266" xfId="0" applyNumberFormat="1" applyFont="1" applyFill="1" applyBorder="1" applyAlignment="1">
      <alignment horizontal="center" vertical="center" wrapText="1"/>
    </xf>
    <xf numFmtId="3" fontId="119" fillId="3" borderId="266" xfId="5" applyNumberFormat="1" applyFont="1" applyFill="1" applyBorder="1" applyAlignment="1">
      <alignment horizontal="center" vertical="center"/>
    </xf>
    <xf numFmtId="3" fontId="46" fillId="3" borderId="287" xfId="5" applyNumberFormat="1" applyFont="1" applyFill="1" applyBorder="1" applyAlignment="1">
      <alignment horizontal="center" vertical="center"/>
    </xf>
    <xf numFmtId="3" fontId="46" fillId="0" borderId="287" xfId="5" applyNumberFormat="1" applyFont="1" applyBorder="1" applyAlignment="1">
      <alignment horizontal="center" vertical="center"/>
    </xf>
    <xf numFmtId="3" fontId="119" fillId="3" borderId="266" xfId="6" applyNumberFormat="1" applyFont="1" applyFill="1" applyBorder="1" applyAlignment="1">
      <alignment horizontal="center" vertical="center"/>
    </xf>
    <xf numFmtId="3" fontId="46" fillId="3" borderId="287" xfId="6" applyNumberFormat="1" applyFont="1" applyFill="1" applyBorder="1" applyAlignment="1">
      <alignment horizontal="center" vertical="center"/>
    </xf>
    <xf numFmtId="3" fontId="47" fillId="3" borderId="287" xfId="5" applyNumberFormat="1" applyFont="1" applyFill="1" applyBorder="1" applyAlignment="1">
      <alignment horizontal="center" vertical="center"/>
    </xf>
    <xf numFmtId="49" fontId="118" fillId="2" borderId="266" xfId="2" applyNumberFormat="1" applyFont="1" applyFill="1" applyBorder="1" applyAlignment="1">
      <alignment horizontal="center" vertical="center" wrapText="1"/>
    </xf>
    <xf numFmtId="49" fontId="118" fillId="2" borderId="266" xfId="2" applyNumberFormat="1" applyFont="1" applyFill="1" applyBorder="1" applyAlignment="1" applyProtection="1">
      <alignment horizontal="center" vertical="center" wrapText="1"/>
      <protection locked="0"/>
    </xf>
    <xf numFmtId="49" fontId="118" fillId="16" borderId="266" xfId="2" applyNumberFormat="1" applyFont="1" applyFill="1" applyBorder="1" applyAlignment="1">
      <alignment horizontal="center" vertical="center" wrapText="1"/>
    </xf>
    <xf numFmtId="3" fontId="118" fillId="16" borderId="266" xfId="6" applyNumberFormat="1" applyFont="1" applyFill="1" applyBorder="1" applyAlignment="1">
      <alignment horizontal="center" vertical="center"/>
    </xf>
    <xf numFmtId="49" fontId="119" fillId="2" borderId="272" xfId="0" applyNumberFormat="1" applyFont="1" applyFill="1" applyBorder="1" applyAlignment="1">
      <alignment horizontal="center" vertical="center" wrapText="1"/>
    </xf>
    <xf numFmtId="49" fontId="119" fillId="2" borderId="266" xfId="2" applyNumberFormat="1" applyFont="1" applyFill="1" applyBorder="1" applyAlignment="1">
      <alignment horizontal="center" vertical="center" wrapText="1"/>
    </xf>
    <xf numFmtId="3" fontId="119" fillId="2" borderId="264" xfId="0" applyNumberFormat="1" applyFont="1" applyFill="1" applyBorder="1" applyAlignment="1">
      <alignment horizontal="center" vertical="center"/>
    </xf>
    <xf numFmtId="0" fontId="127" fillId="2" borderId="264" xfId="0" applyFont="1" applyFill="1" applyBorder="1"/>
    <xf numFmtId="0" fontId="127" fillId="3" borderId="264" xfId="0" applyFont="1" applyFill="1" applyBorder="1"/>
    <xf numFmtId="49" fontId="123" fillId="3" borderId="272" xfId="0" applyNumberFormat="1" applyFont="1" applyFill="1" applyBorder="1" applyAlignment="1">
      <alignment horizontal="center" vertical="center" wrapText="1"/>
    </xf>
    <xf numFmtId="49" fontId="123" fillId="3" borderId="266" xfId="0" applyNumberFormat="1" applyFont="1" applyFill="1" applyBorder="1" applyAlignment="1">
      <alignment horizontal="center" vertical="center" wrapText="1"/>
    </xf>
    <xf numFmtId="49" fontId="105" fillId="3" borderId="266" xfId="2" applyNumberFormat="1" applyFont="1" applyFill="1" applyBorder="1" applyAlignment="1">
      <alignment horizontal="center" vertical="center" wrapText="1"/>
    </xf>
    <xf numFmtId="3" fontId="119" fillId="3" borderId="266" xfId="0" applyNumberFormat="1" applyFont="1" applyFill="1" applyBorder="1" applyAlignment="1">
      <alignment horizontal="center"/>
    </xf>
    <xf numFmtId="49" fontId="118" fillId="2" borderId="254" xfId="0" applyNumberFormat="1" applyFont="1" applyFill="1" applyBorder="1" applyAlignment="1">
      <alignment horizontal="center" vertical="center" wrapText="1"/>
    </xf>
    <xf numFmtId="49" fontId="119" fillId="2" borderId="254" xfId="2" applyNumberFormat="1" applyFont="1" applyFill="1" applyBorder="1" applyAlignment="1">
      <alignment horizontal="center" vertical="center" wrapText="1"/>
    </xf>
    <xf numFmtId="49" fontId="118" fillId="2" borderId="254" xfId="2" applyNumberFormat="1" applyFont="1" applyFill="1" applyBorder="1" applyAlignment="1">
      <alignment vertical="center" textRotation="255" wrapText="1"/>
    </xf>
    <xf numFmtId="49" fontId="118" fillId="3" borderId="266" xfId="2" applyNumberFormat="1" applyFont="1" applyFill="1" applyBorder="1" applyAlignment="1">
      <alignment vertical="center" textRotation="255" wrapText="1"/>
    </xf>
    <xf numFmtId="0" fontId="118" fillId="3" borderId="272" xfId="0" applyFont="1" applyFill="1" applyBorder="1" applyAlignment="1">
      <alignment horizontal="center" vertical="center"/>
    </xf>
    <xf numFmtId="3" fontId="122" fillId="3" borderId="266" xfId="0" applyNumberFormat="1" applyFont="1" applyFill="1" applyBorder="1" applyAlignment="1">
      <alignment horizontal="center" vertical="center"/>
    </xf>
    <xf numFmtId="3" fontId="122" fillId="3" borderId="264" xfId="0" applyNumberFormat="1" applyFont="1" applyFill="1" applyBorder="1" applyAlignment="1">
      <alignment horizontal="center" vertical="center"/>
    </xf>
    <xf numFmtId="49" fontId="119" fillId="16" borderId="266" xfId="2" applyNumberFormat="1" applyFont="1" applyFill="1" applyBorder="1" applyAlignment="1">
      <alignment horizontal="center" vertical="center" wrapText="1"/>
    </xf>
    <xf numFmtId="0" fontId="127" fillId="0" borderId="264" xfId="0" applyFont="1" applyBorder="1"/>
    <xf numFmtId="0" fontId="36" fillId="17" borderId="264" xfId="0" applyFont="1" applyFill="1" applyBorder="1"/>
    <xf numFmtId="3" fontId="123" fillId="3" borderId="266" xfId="0" applyNumberFormat="1" applyFont="1" applyFill="1" applyBorder="1" applyAlignment="1">
      <alignment horizontal="center" vertical="center"/>
    </xf>
    <xf numFmtId="3" fontId="125" fillId="2" borderId="264" xfId="0" applyNumberFormat="1" applyFont="1" applyFill="1" applyBorder="1" applyAlignment="1">
      <alignment horizontal="center" vertical="center"/>
    </xf>
    <xf numFmtId="3" fontId="119" fillId="12" borderId="266" xfId="0" applyNumberFormat="1" applyFont="1" applyFill="1" applyBorder="1" applyAlignment="1">
      <alignment horizontal="center" vertical="center"/>
    </xf>
    <xf numFmtId="0" fontId="127" fillId="3" borderId="272" xfId="0" applyFont="1" applyFill="1" applyBorder="1"/>
    <xf numFmtId="0" fontId="127" fillId="3" borderId="266" xfId="0" applyFont="1" applyFill="1" applyBorder="1"/>
    <xf numFmtId="0" fontId="118" fillId="5" borderId="266" xfId="2" applyFont="1" applyFill="1" applyBorder="1" applyAlignment="1">
      <alignment horizontal="center" vertical="center" wrapText="1"/>
    </xf>
    <xf numFmtId="0" fontId="118" fillId="5" borderId="264" xfId="2" applyFont="1" applyFill="1" applyBorder="1" applyAlignment="1">
      <alignment horizontal="center" vertical="center" wrapText="1"/>
    </xf>
    <xf numFmtId="0" fontId="47" fillId="5" borderId="287" xfId="2" applyFont="1" applyFill="1" applyBorder="1" applyAlignment="1">
      <alignment horizontal="center" vertical="center" wrapText="1"/>
    </xf>
    <xf numFmtId="3" fontId="46" fillId="2" borderId="287" xfId="0" applyNumberFormat="1" applyFont="1" applyFill="1" applyBorder="1" applyAlignment="1">
      <alignment horizontal="center" vertical="center"/>
    </xf>
    <xf numFmtId="3" fontId="118" fillId="4" borderId="264" xfId="0" applyNumberFormat="1" applyFont="1" applyFill="1" applyBorder="1" applyAlignment="1">
      <alignment horizontal="center" vertical="center"/>
    </xf>
    <xf numFmtId="3" fontId="118" fillId="0" borderId="264" xfId="0" applyNumberFormat="1" applyFont="1" applyBorder="1" applyAlignment="1">
      <alignment horizontal="center" vertical="center"/>
    </xf>
    <xf numFmtId="3" fontId="119" fillId="4" borderId="264" xfId="0" applyNumberFormat="1" applyFont="1" applyFill="1" applyBorder="1" applyAlignment="1">
      <alignment horizontal="center" vertical="center"/>
    </xf>
    <xf numFmtId="3" fontId="83" fillId="3" borderId="287" xfId="0" applyNumberFormat="1" applyFont="1" applyFill="1" applyBorder="1" applyAlignment="1">
      <alignment horizontal="center" vertical="center"/>
    </xf>
    <xf numFmtId="0" fontId="47" fillId="2" borderId="275" xfId="0" applyFont="1" applyFill="1" applyBorder="1" applyAlignment="1">
      <alignment horizontal="center" vertical="center" wrapText="1"/>
    </xf>
    <xf numFmtId="3" fontId="118" fillId="2" borderId="280" xfId="0" applyNumberFormat="1" applyFont="1" applyFill="1" applyBorder="1" applyAlignment="1">
      <alignment horizontal="center" vertical="center"/>
    </xf>
    <xf numFmtId="3" fontId="118" fillId="2" borderId="289" xfId="0" applyNumberFormat="1" applyFont="1" applyFill="1" applyBorder="1" applyAlignment="1">
      <alignment horizontal="center" vertical="center"/>
    </xf>
    <xf numFmtId="3" fontId="118" fillId="2" borderId="284" xfId="0" applyNumberFormat="1" applyFont="1" applyFill="1" applyBorder="1" applyAlignment="1">
      <alignment horizontal="center" vertical="center"/>
    </xf>
    <xf numFmtId="0" fontId="128" fillId="2" borderId="272" xfId="0" applyFont="1" applyFill="1" applyBorder="1"/>
    <xf numFmtId="0" fontId="128" fillId="2" borderId="266" xfId="0" applyFont="1" applyFill="1" applyBorder="1"/>
    <xf numFmtId="0" fontId="36" fillId="2" borderId="266" xfId="0" applyFont="1" applyFill="1" applyBorder="1"/>
    <xf numFmtId="0" fontId="60" fillId="2" borderId="275" xfId="0" applyFont="1" applyFill="1" applyBorder="1" applyAlignment="1">
      <alignment horizontal="center" vertical="center" wrapText="1"/>
    </xf>
    <xf numFmtId="0" fontId="117" fillId="2" borderId="0" xfId="0" applyFont="1" applyFill="1" applyBorder="1"/>
    <xf numFmtId="3" fontId="143" fillId="2" borderId="287" xfId="0" applyNumberFormat="1" applyFont="1" applyFill="1" applyBorder="1" applyAlignment="1">
      <alignment horizontal="center" vertical="center"/>
    </xf>
    <xf numFmtId="3" fontId="143" fillId="2" borderId="266" xfId="0" applyNumberFormat="1" applyFont="1" applyFill="1" applyBorder="1" applyAlignment="1">
      <alignment horizontal="center" vertical="center"/>
    </xf>
    <xf numFmtId="3" fontId="143" fillId="2" borderId="267" xfId="0" applyNumberFormat="1" applyFont="1" applyFill="1" applyBorder="1" applyAlignment="1">
      <alignment horizontal="center" vertical="center"/>
    </xf>
    <xf numFmtId="3" fontId="47" fillId="2" borderId="288" xfId="0" applyNumberFormat="1" applyFont="1" applyFill="1" applyBorder="1" applyAlignment="1">
      <alignment horizontal="center" vertical="center"/>
    </xf>
    <xf numFmtId="3" fontId="47" fillId="2" borderId="289" xfId="0" applyNumberFormat="1" applyFont="1" applyFill="1" applyBorder="1" applyAlignment="1">
      <alignment horizontal="center" vertical="center"/>
    </xf>
    <xf numFmtId="3" fontId="47" fillId="2" borderId="290" xfId="0" applyNumberFormat="1" applyFont="1" applyFill="1" applyBorder="1" applyAlignment="1">
      <alignment horizontal="center" vertical="center"/>
    </xf>
    <xf numFmtId="0" fontId="60" fillId="2" borderId="294" xfId="0" applyFont="1" applyFill="1" applyBorder="1" applyAlignment="1">
      <alignment horizontal="center" vertical="center" wrapText="1"/>
    </xf>
    <xf numFmtId="3" fontId="54" fillId="3" borderId="287" xfId="0" applyNumberFormat="1" applyFont="1" applyFill="1" applyBorder="1" applyAlignment="1">
      <alignment horizontal="center" vertical="center"/>
    </xf>
    <xf numFmtId="3" fontId="56" fillId="2" borderId="266" xfId="0" applyNumberFormat="1" applyFont="1" applyFill="1" applyBorder="1" applyAlignment="1">
      <alignment horizontal="center" vertical="center" wrapText="1"/>
    </xf>
    <xf numFmtId="3" fontId="56" fillId="2" borderId="267" xfId="0" applyNumberFormat="1" applyFont="1" applyFill="1" applyBorder="1" applyAlignment="1">
      <alignment horizontal="center" vertical="center" wrapText="1"/>
    </xf>
    <xf numFmtId="3" fontId="56" fillId="3" borderId="266" xfId="0" applyNumberFormat="1" applyFont="1" applyFill="1" applyBorder="1" applyAlignment="1">
      <alignment horizontal="center" vertical="center" wrapText="1"/>
    </xf>
    <xf numFmtId="3" fontId="56" fillId="3" borderId="267" xfId="0" applyNumberFormat="1" applyFont="1" applyFill="1" applyBorder="1" applyAlignment="1">
      <alignment horizontal="center" vertical="center" wrapText="1"/>
    </xf>
    <xf numFmtId="3" fontId="54" fillId="3" borderId="266" xfId="0" applyNumberFormat="1" applyFont="1" applyFill="1" applyBorder="1" applyAlignment="1">
      <alignment horizontal="center" vertical="center" wrapText="1"/>
    </xf>
    <xf numFmtId="3" fontId="37" fillId="3" borderId="266" xfId="0" applyNumberFormat="1" applyFont="1" applyFill="1" applyBorder="1" applyAlignment="1">
      <alignment horizontal="center" vertical="center" wrapText="1"/>
    </xf>
    <xf numFmtId="3" fontId="37" fillId="3" borderId="289" xfId="0" applyNumberFormat="1" applyFont="1" applyFill="1" applyBorder="1" applyAlignment="1">
      <alignment horizontal="center" vertical="center" wrapText="1"/>
    </xf>
    <xf numFmtId="3" fontId="54" fillId="3" borderId="290" xfId="0" applyNumberFormat="1" applyFont="1" applyFill="1" applyBorder="1" applyAlignment="1">
      <alignment horizontal="center" vertical="center" wrapText="1"/>
    </xf>
    <xf numFmtId="3" fontId="56" fillId="2" borderId="10" xfId="0" applyNumberFormat="1" applyFont="1" applyFill="1" applyBorder="1" applyAlignment="1">
      <alignment horizontal="center" vertical="center" wrapText="1"/>
    </xf>
    <xf numFmtId="3" fontId="54" fillId="3" borderId="286" xfId="0" applyNumberFormat="1" applyFont="1" applyFill="1" applyBorder="1" applyAlignment="1">
      <alignment horizontal="center" vertical="center" wrapText="1"/>
    </xf>
    <xf numFmtId="3" fontId="56" fillId="2" borderId="287" xfId="0" applyNumberFormat="1" applyFont="1" applyFill="1" applyBorder="1" applyAlignment="1">
      <alignment horizontal="center" vertical="center" wrapText="1"/>
    </xf>
    <xf numFmtId="3" fontId="56" fillId="3" borderId="287" xfId="0" applyNumberFormat="1" applyFont="1" applyFill="1" applyBorder="1" applyAlignment="1">
      <alignment horizontal="center" vertical="center" wrapText="1"/>
    </xf>
    <xf numFmtId="3" fontId="68" fillId="3" borderId="287" xfId="0" applyNumberFormat="1" applyFont="1" applyFill="1" applyBorder="1" applyAlignment="1">
      <alignment horizontal="center" vertical="center" wrapText="1"/>
    </xf>
    <xf numFmtId="3" fontId="37" fillId="3" borderId="287" xfId="0" applyNumberFormat="1" applyFont="1" applyFill="1" applyBorder="1" applyAlignment="1">
      <alignment horizontal="center" vertical="center" wrapText="1"/>
    </xf>
    <xf numFmtId="3" fontId="54" fillId="3" borderId="287" xfId="0" applyNumberFormat="1" applyFont="1" applyFill="1" applyBorder="1" applyAlignment="1">
      <alignment horizontal="center" vertical="center" wrapText="1"/>
    </xf>
    <xf numFmtId="3" fontId="54" fillId="3" borderId="288" xfId="0" applyNumberFormat="1" applyFont="1" applyFill="1" applyBorder="1" applyAlignment="1">
      <alignment horizontal="center" vertical="center" wrapText="1"/>
    </xf>
    <xf numFmtId="3" fontId="37" fillId="3" borderId="70" xfId="0" applyNumberFormat="1" applyFont="1" applyFill="1" applyBorder="1" applyAlignment="1">
      <alignment horizontal="center" vertical="center" wrapText="1"/>
    </xf>
    <xf numFmtId="3" fontId="54" fillId="3" borderId="70" xfId="0" applyNumberFormat="1" applyFont="1" applyFill="1" applyBorder="1" applyAlignment="1">
      <alignment horizontal="center" vertical="center" wrapText="1"/>
    </xf>
    <xf numFmtId="3" fontId="37" fillId="3" borderId="0" xfId="0" applyNumberFormat="1" applyFont="1" applyFill="1" applyBorder="1" applyAlignment="1">
      <alignment horizontal="center" vertical="center" wrapText="1"/>
    </xf>
    <xf numFmtId="0" fontId="106" fillId="0" borderId="302" xfId="0" applyFont="1" applyBorder="1" applyAlignment="1">
      <alignment vertical="center" wrapText="1"/>
    </xf>
    <xf numFmtId="4" fontId="106" fillId="3" borderId="98" xfId="0" applyNumberFormat="1" applyFont="1" applyFill="1" applyBorder="1" applyAlignment="1">
      <alignment horizontal="center" vertical="center"/>
    </xf>
    <xf numFmtId="4" fontId="106" fillId="11" borderId="98" xfId="0" applyNumberFormat="1" applyFont="1" applyFill="1" applyBorder="1" applyAlignment="1">
      <alignment horizontal="center" vertical="center"/>
    </xf>
    <xf numFmtId="0" fontId="23" fillId="0" borderId="131" xfId="0" applyFont="1" applyBorder="1" applyAlignment="1">
      <alignment wrapText="1"/>
    </xf>
    <xf numFmtId="0" fontId="23" fillId="0" borderId="7" xfId="0" applyFont="1" applyBorder="1" applyAlignment="1">
      <alignment horizontal="left" vertical="center" wrapText="1"/>
    </xf>
    <xf numFmtId="0" fontId="25" fillId="3" borderId="258" xfId="0" applyFont="1" applyFill="1" applyBorder="1" applyAlignment="1">
      <alignment wrapText="1"/>
    </xf>
    <xf numFmtId="4" fontId="25" fillId="3" borderId="254" xfId="0" applyNumberFormat="1" applyFont="1" applyFill="1" applyBorder="1" applyAlignment="1">
      <alignment horizontal="center" vertical="center"/>
    </xf>
    <xf numFmtId="4" fontId="25" fillId="3" borderId="181" xfId="0" applyNumberFormat="1" applyFont="1" applyFill="1" applyBorder="1" applyAlignment="1">
      <alignment horizontal="center" vertical="center"/>
    </xf>
    <xf numFmtId="3" fontId="23" fillId="3" borderId="0" xfId="0" applyNumberFormat="1" applyFont="1" applyFill="1" applyAlignment="1">
      <alignment horizontal="center" vertical="center"/>
    </xf>
    <xf numFmtId="3" fontId="149" fillId="3" borderId="0" xfId="0" applyNumberFormat="1" applyFont="1" applyFill="1" applyAlignment="1">
      <alignment horizontal="center" vertical="center"/>
    </xf>
    <xf numFmtId="3" fontId="151" fillId="3" borderId="0" xfId="0" applyNumberFormat="1" applyFont="1" applyFill="1" applyAlignment="1">
      <alignment horizontal="center" vertical="center"/>
    </xf>
    <xf numFmtId="3" fontId="63" fillId="3" borderId="0" xfId="0" applyNumberFormat="1" applyFont="1" applyFill="1" applyAlignment="1">
      <alignment horizontal="center" vertical="center"/>
    </xf>
    <xf numFmtId="3" fontId="19" fillId="6" borderId="263" xfId="0" applyNumberFormat="1" applyFont="1" applyFill="1" applyBorder="1" applyAlignment="1" applyProtection="1">
      <alignment horizontal="center" vertical="center" wrapText="1"/>
      <protection locked="0"/>
    </xf>
    <xf numFmtId="3" fontId="24" fillId="5" borderId="263" xfId="2" applyNumberFormat="1" applyFont="1" applyFill="1" applyBorder="1" applyAlignment="1">
      <alignment horizontal="center" vertical="center" wrapText="1"/>
    </xf>
    <xf numFmtId="3" fontId="19" fillId="4" borderId="263" xfId="0" applyNumberFormat="1" applyFont="1" applyFill="1" applyBorder="1" applyAlignment="1">
      <alignment horizontal="center" vertical="center"/>
    </xf>
    <xf numFmtId="3" fontId="24" fillId="4" borderId="263" xfId="0" applyNumberFormat="1" applyFont="1" applyFill="1" applyBorder="1" applyAlignment="1">
      <alignment horizontal="center" vertical="center"/>
    </xf>
    <xf numFmtId="3" fontId="24" fillId="0" borderId="263" xfId="0" applyNumberFormat="1" applyFont="1" applyBorder="1" applyAlignment="1">
      <alignment horizontal="center" vertical="center"/>
    </xf>
    <xf numFmtId="3" fontId="24" fillId="9" borderId="263" xfId="2" applyNumberFormat="1" applyFont="1" applyFill="1" applyBorder="1" applyAlignment="1">
      <alignment horizontal="center" vertical="center" wrapText="1"/>
    </xf>
    <xf numFmtId="3" fontId="19" fillId="9" borderId="263" xfId="2" applyNumberFormat="1" applyFont="1" applyFill="1" applyBorder="1" applyAlignment="1">
      <alignment horizontal="center" vertical="center" wrapText="1"/>
    </xf>
    <xf numFmtId="3" fontId="24" fillId="3" borderId="263" xfId="0" applyNumberFormat="1" applyFont="1" applyFill="1" applyBorder="1" applyAlignment="1">
      <alignment horizontal="center" vertical="center"/>
    </xf>
    <xf numFmtId="3" fontId="19" fillId="3" borderId="263" xfId="0" applyNumberFormat="1" applyFont="1" applyFill="1" applyBorder="1" applyAlignment="1">
      <alignment horizontal="center" vertical="center" wrapText="1"/>
    </xf>
    <xf numFmtId="3" fontId="19" fillId="0" borderId="263" xfId="0" applyNumberFormat="1" applyFont="1" applyBorder="1" applyAlignment="1">
      <alignment horizontal="center" vertical="center"/>
    </xf>
    <xf numFmtId="3" fontId="150" fillId="3" borderId="263" xfId="0" applyNumberFormat="1" applyFont="1" applyFill="1" applyBorder="1" applyAlignment="1">
      <alignment horizontal="center" vertical="center"/>
    </xf>
    <xf numFmtId="3" fontId="63" fillId="3" borderId="263" xfId="0" applyNumberFormat="1" applyFont="1" applyFill="1" applyBorder="1" applyAlignment="1">
      <alignment horizontal="center" vertical="center"/>
    </xf>
    <xf numFmtId="3" fontId="152" fillId="3" borderId="263" xfId="0" applyNumberFormat="1" applyFont="1" applyFill="1" applyBorder="1" applyAlignment="1">
      <alignment horizontal="center" vertical="center"/>
    </xf>
    <xf numFmtId="3" fontId="24" fillId="3" borderId="263" xfId="0" applyNumberFormat="1" applyFont="1" applyFill="1" applyBorder="1" applyAlignment="1">
      <alignment horizontal="center" vertical="center" wrapText="1"/>
    </xf>
    <xf numFmtId="3" fontId="63" fillId="8" borderId="263" xfId="5" applyNumberFormat="1" applyFont="1" applyFill="1" applyBorder="1" applyAlignment="1">
      <alignment horizontal="center" vertical="center"/>
    </xf>
    <xf numFmtId="3" fontId="19" fillId="8" borderId="263" xfId="6" applyNumberFormat="1" applyFont="1" applyFill="1" applyBorder="1" applyAlignment="1">
      <alignment horizontal="center" vertical="center"/>
    </xf>
    <xf numFmtId="3" fontId="19" fillId="15" borderId="263" xfId="6" applyNumberFormat="1" applyFont="1" applyFill="1" applyBorder="1" applyAlignment="1">
      <alignment horizontal="center" vertical="center"/>
    </xf>
    <xf numFmtId="3" fontId="19" fillId="8" borderId="263" xfId="5" applyNumberFormat="1" applyFont="1" applyFill="1" applyBorder="1" applyAlignment="1">
      <alignment horizontal="center" vertical="center"/>
    </xf>
    <xf numFmtId="3" fontId="24" fillId="8" borderId="0" xfId="5" applyNumberFormat="1" applyFont="1" applyFill="1" applyBorder="1" applyAlignment="1">
      <alignment horizontal="center" vertical="center"/>
    </xf>
    <xf numFmtId="0" fontId="116" fillId="0" borderId="0" xfId="0" applyFont="1" applyAlignment="1">
      <alignment horizontal="center" vertical="center"/>
    </xf>
    <xf numFmtId="3" fontId="153" fillId="0" borderId="0" xfId="0" applyNumberFormat="1" applyFont="1"/>
    <xf numFmtId="3" fontId="60" fillId="3" borderId="0" xfId="0" applyNumberFormat="1" applyFont="1" applyFill="1" applyBorder="1" applyAlignment="1">
      <alignment horizontal="center" vertical="center"/>
    </xf>
    <xf numFmtId="3" fontId="60" fillId="9" borderId="0" xfId="2" applyNumberFormat="1" applyFont="1" applyFill="1" applyBorder="1" applyAlignment="1">
      <alignment horizontal="center" vertical="center" wrapText="1"/>
    </xf>
    <xf numFmtId="3" fontId="155" fillId="9" borderId="0" xfId="2" applyNumberFormat="1" applyFont="1" applyFill="1" applyBorder="1" applyAlignment="1">
      <alignment horizontal="center" vertical="center" wrapText="1"/>
    </xf>
    <xf numFmtId="3" fontId="60" fillId="5" borderId="0" xfId="2" applyNumberFormat="1" applyFont="1" applyFill="1" applyBorder="1" applyAlignment="1">
      <alignment horizontal="center" vertical="center" wrapText="1"/>
    </xf>
    <xf numFmtId="3" fontId="84" fillId="0" borderId="0" xfId="0" applyNumberFormat="1" applyFont="1"/>
    <xf numFmtId="0" fontId="156" fillId="0" borderId="0" xfId="0" applyFont="1" applyBorder="1" applyAlignment="1">
      <alignment horizontal="center" vertical="center"/>
    </xf>
    <xf numFmtId="0" fontId="84" fillId="0" borderId="0" xfId="0" applyFont="1"/>
    <xf numFmtId="0" fontId="156" fillId="0" borderId="0" xfId="0" applyFont="1"/>
    <xf numFmtId="3" fontId="61" fillId="3" borderId="0" xfId="0" applyNumberFormat="1" applyFont="1" applyFill="1" applyBorder="1"/>
    <xf numFmtId="0" fontId="128" fillId="2" borderId="258" xfId="0" applyFont="1" applyFill="1" applyBorder="1"/>
    <xf numFmtId="0" fontId="128" fillId="2" borderId="254" xfId="0" applyFont="1" applyFill="1" applyBorder="1"/>
    <xf numFmtId="0" fontId="36" fillId="2" borderId="254" xfId="0" applyFont="1" applyFill="1" applyBorder="1"/>
    <xf numFmtId="3" fontId="143" fillId="2" borderId="253" xfId="0" applyNumberFormat="1" applyFont="1" applyFill="1" applyBorder="1" applyAlignment="1">
      <alignment horizontal="center" vertical="center"/>
    </xf>
    <xf numFmtId="3" fontId="143" fillId="2" borderId="254" xfId="0" applyNumberFormat="1" applyFont="1" applyFill="1" applyBorder="1" applyAlignment="1">
      <alignment horizontal="center" vertical="center"/>
    </xf>
    <xf numFmtId="3" fontId="143" fillId="2" borderId="255" xfId="0" applyNumberFormat="1" applyFont="1" applyFill="1" applyBorder="1" applyAlignment="1">
      <alignment horizontal="center" vertical="center"/>
    </xf>
    <xf numFmtId="3" fontId="143" fillId="2" borderId="262" xfId="0" applyNumberFormat="1" applyFont="1" applyFill="1" applyBorder="1" applyAlignment="1">
      <alignment horizontal="center" vertical="center"/>
    </xf>
    <xf numFmtId="3" fontId="59" fillId="2" borderId="253" xfId="0" applyNumberFormat="1" applyFont="1" applyFill="1" applyBorder="1" applyAlignment="1">
      <alignment horizontal="center" vertical="center"/>
    </xf>
    <xf numFmtId="3" fontId="59" fillId="2" borderId="254" xfId="0" applyNumberFormat="1" applyFont="1" applyFill="1" applyBorder="1" applyAlignment="1">
      <alignment horizontal="center" vertical="center"/>
    </xf>
    <xf numFmtId="3" fontId="59" fillId="2" borderId="255" xfId="0" applyNumberFormat="1" applyFont="1" applyFill="1" applyBorder="1" applyAlignment="1">
      <alignment horizontal="center" vertical="center"/>
    </xf>
    <xf numFmtId="0" fontId="154" fillId="0" borderId="70" xfId="0" applyFont="1" applyBorder="1"/>
    <xf numFmtId="0" fontId="61" fillId="0" borderId="70" xfId="0" applyFont="1" applyBorder="1"/>
    <xf numFmtId="0" fontId="61" fillId="3" borderId="70" xfId="0" applyFont="1" applyFill="1" applyBorder="1"/>
    <xf numFmtId="0" fontId="60" fillId="3" borderId="70" xfId="0" applyFont="1" applyFill="1" applyBorder="1" applyAlignment="1">
      <alignment vertical="center" wrapText="1"/>
    </xf>
    <xf numFmtId="4" fontId="144" fillId="3" borderId="70" xfId="0" applyNumberFormat="1" applyFont="1" applyFill="1" applyBorder="1"/>
    <xf numFmtId="3" fontId="59" fillId="3" borderId="70" xfId="0" applyNumberFormat="1" applyFont="1" applyFill="1" applyBorder="1" applyAlignment="1">
      <alignment horizontal="center" vertical="center"/>
    </xf>
    <xf numFmtId="3" fontId="60" fillId="9" borderId="70" xfId="2" applyNumberFormat="1" applyFont="1" applyFill="1" applyBorder="1" applyAlignment="1">
      <alignment horizontal="center" vertical="center" wrapText="1"/>
    </xf>
    <xf numFmtId="0" fontId="61" fillId="0" borderId="0" xfId="0" applyFont="1" applyFill="1" applyBorder="1"/>
    <xf numFmtId="3" fontId="61" fillId="0" borderId="0" xfId="0" applyNumberFormat="1" applyFont="1" applyBorder="1"/>
    <xf numFmtId="3" fontId="118" fillId="5" borderId="285" xfId="2" applyNumberFormat="1" applyFont="1" applyFill="1" applyBorder="1" applyAlignment="1">
      <alignment horizontal="center" vertical="center" wrapText="1"/>
    </xf>
    <xf numFmtId="3" fontId="118" fillId="5" borderId="204" xfId="2" applyNumberFormat="1" applyFont="1" applyFill="1" applyBorder="1" applyAlignment="1">
      <alignment horizontal="center" vertical="center" wrapText="1"/>
    </xf>
    <xf numFmtId="0" fontId="132" fillId="0" borderId="0" xfId="0" applyFont="1" applyBorder="1"/>
    <xf numFmtId="49" fontId="118" fillId="5" borderId="264" xfId="2" applyNumberFormat="1" applyFont="1" applyFill="1" applyBorder="1" applyAlignment="1">
      <alignment horizontal="center" vertical="center" textRotation="255" wrapText="1"/>
    </xf>
    <xf numFmtId="49" fontId="118" fillId="5" borderId="264" xfId="2" applyNumberFormat="1" applyFont="1" applyFill="1" applyBorder="1" applyAlignment="1">
      <alignment horizontal="center" vertical="center" textRotation="180" wrapText="1"/>
    </xf>
    <xf numFmtId="49" fontId="118" fillId="3" borderId="264" xfId="2" applyNumberFormat="1" applyFont="1" applyFill="1" applyBorder="1" applyAlignment="1">
      <alignment horizontal="center" vertical="center" wrapText="1"/>
    </xf>
    <xf numFmtId="49" fontId="119" fillId="3" borderId="264" xfId="2" applyNumberFormat="1" applyFont="1" applyFill="1" applyBorder="1" applyAlignment="1">
      <alignment horizontal="center" vertical="center" wrapText="1"/>
    </xf>
    <xf numFmtId="49" fontId="119" fillId="8" borderId="264" xfId="2" applyNumberFormat="1" applyFont="1" applyFill="1" applyBorder="1" applyAlignment="1">
      <alignment horizontal="center" vertical="center" wrapText="1"/>
    </xf>
    <xf numFmtId="0" fontId="120" fillId="0" borderId="264" xfId="0" applyFont="1" applyBorder="1" applyAlignment="1">
      <alignment horizontal="center"/>
    </xf>
    <xf numFmtId="49" fontId="118" fillId="8" borderId="264" xfId="2" applyNumberFormat="1" applyFont="1" applyFill="1" applyBorder="1" applyAlignment="1">
      <alignment horizontal="center" vertical="center" wrapText="1"/>
    </xf>
    <xf numFmtId="0" fontId="121" fillId="11" borderId="264" xfId="0" applyFont="1" applyFill="1" applyBorder="1" applyAlignment="1">
      <alignment horizontal="center" vertical="center"/>
    </xf>
    <xf numFmtId="49" fontId="122" fillId="3" borderId="264" xfId="2" applyNumberFormat="1" applyFont="1" applyFill="1" applyBorder="1" applyAlignment="1">
      <alignment horizontal="center" vertical="center" wrapText="1"/>
    </xf>
    <xf numFmtId="49" fontId="118" fillId="4" borderId="264" xfId="2" applyNumberFormat="1" applyFont="1" applyFill="1" applyBorder="1" applyAlignment="1">
      <alignment horizontal="center" vertical="center" wrapText="1"/>
    </xf>
    <xf numFmtId="49" fontId="118" fillId="8" borderId="264" xfId="1" applyNumberFormat="1" applyFont="1" applyFill="1" applyBorder="1" applyAlignment="1" applyProtection="1">
      <alignment horizontal="center" vertical="center" wrapText="1"/>
      <protection locked="0"/>
    </xf>
    <xf numFmtId="49" fontId="118" fillId="5" borderId="264" xfId="2" applyNumberFormat="1" applyFont="1" applyFill="1" applyBorder="1" applyAlignment="1" applyProtection="1">
      <alignment horizontal="center" vertical="center" wrapText="1"/>
      <protection locked="0"/>
    </xf>
    <xf numFmtId="49" fontId="119" fillId="4" borderId="264" xfId="2" applyNumberFormat="1" applyFont="1" applyFill="1" applyBorder="1" applyAlignment="1">
      <alignment horizontal="center" vertical="center" wrapText="1"/>
    </xf>
    <xf numFmtId="49" fontId="119" fillId="7" borderId="264" xfId="2" applyNumberFormat="1" applyFont="1" applyFill="1" applyBorder="1" applyAlignment="1">
      <alignment horizontal="center" vertical="center" wrapText="1"/>
    </xf>
    <xf numFmtId="49" fontId="118" fillId="7" borderId="264" xfId="2" applyNumberFormat="1" applyFont="1" applyFill="1" applyBorder="1" applyAlignment="1">
      <alignment horizontal="center" vertical="center" wrapText="1"/>
    </xf>
    <xf numFmtId="49" fontId="119" fillId="8" borderId="264" xfId="1" applyNumberFormat="1" applyFont="1" applyFill="1" applyBorder="1" applyAlignment="1" applyProtection="1">
      <alignment horizontal="center" vertical="center" wrapText="1"/>
      <protection locked="0"/>
    </xf>
    <xf numFmtId="49" fontId="119" fillId="3" borderId="264" xfId="2" applyNumberFormat="1" applyFont="1" applyFill="1" applyBorder="1" applyAlignment="1" applyProtection="1">
      <alignment horizontal="center" vertical="center" wrapText="1"/>
      <protection locked="0"/>
    </xf>
    <xf numFmtId="49" fontId="118" fillId="3" borderId="264" xfId="2" applyNumberFormat="1" applyFont="1" applyFill="1" applyBorder="1" applyAlignment="1" applyProtection="1">
      <alignment horizontal="center" vertical="center" wrapText="1"/>
      <protection locked="0"/>
    </xf>
    <xf numFmtId="49" fontId="118" fillId="5" borderId="264" xfId="2" applyNumberFormat="1" applyFont="1" applyFill="1" applyBorder="1" applyAlignment="1">
      <alignment horizontal="center" vertical="center" wrapText="1"/>
    </xf>
    <xf numFmtId="49" fontId="120" fillId="3" borderId="264" xfId="2" applyNumberFormat="1" applyFont="1" applyFill="1" applyBorder="1" applyAlignment="1">
      <alignment horizontal="center" vertical="center" wrapText="1"/>
    </xf>
    <xf numFmtId="1" fontId="118" fillId="8" borderId="264" xfId="2" applyNumberFormat="1" applyFont="1" applyFill="1" applyBorder="1" applyAlignment="1">
      <alignment horizontal="center" vertical="center" wrapText="1"/>
    </xf>
    <xf numFmtId="0" fontId="126" fillId="3" borderId="264" xfId="1" applyFont="1" applyFill="1" applyBorder="1" applyAlignment="1">
      <alignment horizontal="center" vertical="center" wrapText="1"/>
    </xf>
    <xf numFmtId="49" fontId="118" fillId="2" borderId="264" xfId="2" applyNumberFormat="1" applyFont="1" applyFill="1" applyBorder="1" applyAlignment="1">
      <alignment horizontal="center" vertical="center" wrapText="1"/>
    </xf>
    <xf numFmtId="49" fontId="118" fillId="16" borderId="264" xfId="2" applyNumberFormat="1" applyFont="1" applyFill="1" applyBorder="1" applyAlignment="1">
      <alignment horizontal="center" vertical="center" wrapText="1"/>
    </xf>
    <xf numFmtId="1" fontId="118" fillId="3" borderId="264" xfId="0" applyNumberFormat="1" applyFont="1" applyFill="1" applyBorder="1" applyAlignment="1">
      <alignment horizontal="center" vertical="center"/>
    </xf>
    <xf numFmtId="49" fontId="118" fillId="16" borderId="264" xfId="2" applyNumberFormat="1" applyFont="1" applyFill="1" applyBorder="1" applyAlignment="1" applyProtection="1">
      <alignment horizontal="center" vertical="center" wrapText="1"/>
      <protection locked="0"/>
    </xf>
    <xf numFmtId="49" fontId="118" fillId="2" borderId="264" xfId="2" applyNumberFormat="1" applyFont="1" applyFill="1" applyBorder="1" applyAlignment="1" applyProtection="1">
      <alignment horizontal="center" vertical="center" wrapText="1"/>
      <protection locked="0"/>
    </xf>
    <xf numFmtId="49" fontId="118" fillId="2" borderId="274" xfId="2" applyNumberFormat="1" applyFont="1" applyFill="1" applyBorder="1" applyAlignment="1">
      <alignment horizontal="center" vertical="center" wrapText="1"/>
    </xf>
    <xf numFmtId="49" fontId="122" fillId="3" borderId="264" xfId="2" applyNumberFormat="1" applyFont="1" applyFill="1" applyBorder="1" applyAlignment="1" applyProtection="1">
      <alignment horizontal="center" vertical="center" wrapText="1"/>
      <protection locked="0"/>
    </xf>
    <xf numFmtId="1" fontId="119" fillId="3" borderId="264" xfId="0" applyNumberFormat="1" applyFont="1" applyFill="1" applyBorder="1" applyAlignment="1">
      <alignment horizontal="center" vertical="center"/>
    </xf>
    <xf numFmtId="49" fontId="119" fillId="5" borderId="264" xfId="2" applyNumberFormat="1" applyFont="1" applyFill="1" applyBorder="1" applyAlignment="1">
      <alignment horizontal="center" vertical="center" wrapText="1"/>
    </xf>
    <xf numFmtId="0" fontId="120" fillId="11" borderId="264" xfId="0" applyFont="1" applyFill="1" applyBorder="1" applyAlignment="1">
      <alignment horizontal="center" wrapText="1"/>
    </xf>
    <xf numFmtId="49" fontId="118" fillId="3" borderId="264" xfId="0" applyNumberFormat="1" applyFont="1" applyFill="1" applyBorder="1" applyAlignment="1">
      <alignment horizontal="center" vertical="center" wrapText="1"/>
    </xf>
    <xf numFmtId="49" fontId="118" fillId="4" borderId="264" xfId="0" applyNumberFormat="1" applyFont="1" applyFill="1" applyBorder="1" applyAlignment="1">
      <alignment horizontal="center" vertical="center" wrapText="1"/>
    </xf>
    <xf numFmtId="49" fontId="119" fillId="4" borderId="264" xfId="0" applyNumberFormat="1" applyFont="1" applyFill="1" applyBorder="1" applyAlignment="1">
      <alignment horizontal="center" vertical="center" wrapText="1"/>
    </xf>
    <xf numFmtId="0" fontId="119" fillId="0" borderId="264" xfId="0" applyFont="1" applyBorder="1" applyAlignment="1">
      <alignment horizontal="center" vertical="center"/>
    </xf>
    <xf numFmtId="49" fontId="119" fillId="3" borderId="264" xfId="0" applyNumberFormat="1" applyFont="1" applyFill="1" applyBorder="1" applyAlignment="1">
      <alignment horizontal="center" vertical="center" wrapText="1"/>
    </xf>
    <xf numFmtId="49" fontId="119" fillId="8" borderId="264" xfId="0" applyNumberFormat="1" applyFont="1" applyFill="1" applyBorder="1" applyAlignment="1" applyProtection="1">
      <alignment horizontal="center" vertical="center" wrapText="1"/>
      <protection locked="0"/>
    </xf>
    <xf numFmtId="49" fontId="118" fillId="16" borderId="264" xfId="0" applyNumberFormat="1" applyFont="1" applyFill="1" applyBorder="1" applyAlignment="1" applyProtection="1">
      <alignment horizontal="center" vertical="center" wrapText="1"/>
      <protection locked="0"/>
    </xf>
    <xf numFmtId="0" fontId="36" fillId="2" borderId="264" xfId="0" applyFont="1" applyFill="1" applyBorder="1"/>
    <xf numFmtId="0" fontId="36" fillId="2" borderId="274" xfId="0" applyFont="1" applyFill="1" applyBorder="1"/>
    <xf numFmtId="0" fontId="47" fillId="5" borderId="287" xfId="2" applyFont="1" applyFill="1" applyBorder="1" applyAlignment="1">
      <alignment vertical="center" wrapText="1"/>
    </xf>
    <xf numFmtId="0" fontId="47" fillId="3" borderId="287" xfId="2" applyFont="1" applyFill="1" applyBorder="1" applyAlignment="1" applyProtection="1">
      <alignment vertical="center" wrapText="1"/>
      <protection locked="0"/>
    </xf>
    <xf numFmtId="0" fontId="47" fillId="3" borderId="287" xfId="2" applyFont="1" applyFill="1" applyBorder="1" applyAlignment="1">
      <alignment vertical="center" wrapText="1"/>
    </xf>
    <xf numFmtId="0" fontId="46" fillId="8" borderId="287" xfId="2" applyFont="1" applyFill="1" applyBorder="1" applyAlignment="1">
      <alignment vertical="center" wrapText="1"/>
    </xf>
    <xf numFmtId="0" fontId="46" fillId="3" borderId="287" xfId="2" applyFont="1" applyFill="1" applyBorder="1" applyAlignment="1">
      <alignment vertical="center" wrapText="1"/>
    </xf>
    <xf numFmtId="0" fontId="113" fillId="0" borderId="287" xfId="0" applyFont="1" applyBorder="1" applyAlignment="1">
      <alignment vertical="center"/>
    </xf>
    <xf numFmtId="0" fontId="47" fillId="8" borderId="287" xfId="2" applyFont="1" applyFill="1" applyBorder="1" applyAlignment="1">
      <alignment vertical="center" wrapText="1"/>
    </xf>
    <xf numFmtId="0" fontId="61" fillId="11" borderId="287" xfId="0" applyFont="1" applyFill="1" applyBorder="1" applyAlignment="1">
      <alignment vertical="center" wrapText="1"/>
    </xf>
    <xf numFmtId="0" fontId="46" fillId="11" borderId="287" xfId="0" applyFont="1" applyFill="1" applyBorder="1" applyAlignment="1">
      <alignment vertical="center" wrapText="1"/>
    </xf>
    <xf numFmtId="0" fontId="59" fillId="3" borderId="287" xfId="2" applyFont="1" applyFill="1" applyBorder="1" applyAlignment="1">
      <alignment vertical="center" wrapText="1"/>
    </xf>
    <xf numFmtId="0" fontId="47" fillId="7" borderId="287" xfId="2" applyFont="1" applyFill="1" applyBorder="1" applyAlignment="1">
      <alignment vertical="center" wrapText="1"/>
    </xf>
    <xf numFmtId="0" fontId="46" fillId="7" borderId="287" xfId="2" applyFont="1" applyFill="1" applyBorder="1" applyAlignment="1">
      <alignment vertical="center" wrapText="1"/>
    </xf>
    <xf numFmtId="0" fontId="47" fillId="8" borderId="287" xfId="1" applyFont="1" applyFill="1" applyBorder="1" applyAlignment="1" applyProtection="1">
      <alignment vertical="center" wrapText="1"/>
      <protection locked="0"/>
    </xf>
    <xf numFmtId="0" fontId="47" fillId="4" borderId="287" xfId="2" applyFont="1" applyFill="1" applyBorder="1" applyAlignment="1" applyProtection="1">
      <alignment vertical="center" wrapText="1"/>
      <protection locked="0"/>
    </xf>
    <xf numFmtId="0" fontId="47" fillId="4" borderId="287" xfId="2" applyFont="1" applyFill="1" applyBorder="1" applyAlignment="1">
      <alignment vertical="center" wrapText="1"/>
    </xf>
    <xf numFmtId="0" fontId="46" fillId="4" borderId="287" xfId="2" applyFont="1" applyFill="1" applyBorder="1" applyAlignment="1">
      <alignment vertical="center" wrapText="1"/>
    </xf>
    <xf numFmtId="0" fontId="46" fillId="8" borderId="287" xfId="2" applyFont="1" applyFill="1" applyBorder="1" applyAlignment="1" applyProtection="1">
      <alignment vertical="center" wrapText="1"/>
      <protection locked="0"/>
    </xf>
    <xf numFmtId="0" fontId="47" fillId="8" borderId="287" xfId="2" applyFont="1" applyFill="1" applyBorder="1" applyAlignment="1" applyProtection="1">
      <alignment vertical="center" wrapText="1"/>
      <protection locked="0"/>
    </xf>
    <xf numFmtId="0" fontId="47" fillId="5" borderId="287" xfId="2" applyFont="1" applyFill="1" applyBorder="1" applyAlignment="1">
      <alignment horizontal="center" wrapText="1"/>
    </xf>
    <xf numFmtId="164" fontId="47" fillId="5" borderId="287" xfId="2" applyNumberFormat="1" applyFont="1" applyFill="1" applyBorder="1" applyAlignment="1" applyProtection="1">
      <alignment horizontal="center" vertical="center" wrapText="1"/>
      <protection locked="0"/>
    </xf>
    <xf numFmtId="164" fontId="47" fillId="5" borderId="287" xfId="2" applyNumberFormat="1" applyFont="1" applyFill="1" applyBorder="1" applyAlignment="1" applyProtection="1">
      <alignment vertical="center" wrapText="1"/>
      <protection locked="0"/>
    </xf>
    <xf numFmtId="3" fontId="46" fillId="3" borderId="287" xfId="0" applyNumberFormat="1" applyFont="1" applyFill="1" applyBorder="1" applyAlignment="1">
      <alignment vertical="center" wrapText="1"/>
    </xf>
    <xf numFmtId="2" fontId="47" fillId="8" borderId="287" xfId="2" applyNumberFormat="1" applyFont="1" applyFill="1" applyBorder="1" applyAlignment="1" applyProtection="1">
      <alignment vertical="center" wrapText="1"/>
      <protection locked="0"/>
    </xf>
    <xf numFmtId="0" fontId="47" fillId="3" borderId="287" xfId="1" applyFont="1" applyFill="1" applyBorder="1" applyAlignment="1">
      <alignment vertical="center" wrapText="1"/>
    </xf>
    <xf numFmtId="0" fontId="47" fillId="5" borderId="287" xfId="2" applyFont="1" applyFill="1" applyBorder="1" applyAlignment="1" applyProtection="1">
      <alignment horizontal="center" vertical="center" wrapText="1"/>
      <protection locked="0"/>
    </xf>
    <xf numFmtId="0" fontId="47" fillId="5" borderId="287" xfId="2" applyFont="1" applyFill="1" applyBorder="1" applyAlignment="1" applyProtection="1">
      <alignment vertical="center" wrapText="1"/>
      <protection locked="0"/>
    </xf>
    <xf numFmtId="0" fontId="47" fillId="2" borderId="287" xfId="2" applyFont="1" applyFill="1" applyBorder="1" applyAlignment="1">
      <alignment horizontal="center" vertical="center" wrapText="1"/>
    </xf>
    <xf numFmtId="0" fontId="47" fillId="16" borderId="287" xfId="2" applyFont="1" applyFill="1" applyBorder="1" applyAlignment="1">
      <alignment horizontal="center" vertical="center" wrapText="1"/>
    </xf>
    <xf numFmtId="0" fontId="47" fillId="16" borderId="287" xfId="2" applyFont="1" applyFill="1" applyBorder="1" applyAlignment="1" applyProtection="1">
      <alignment horizontal="center" vertical="center" wrapText="1"/>
      <protection locked="0"/>
    </xf>
    <xf numFmtId="0" fontId="47" fillId="2" borderId="287" xfId="2" applyFont="1" applyFill="1" applyBorder="1" applyAlignment="1" applyProtection="1">
      <alignment horizontal="center" vertical="center" wrapText="1"/>
      <protection locked="0"/>
    </xf>
    <xf numFmtId="0" fontId="46" fillId="3" borderId="287" xfId="0" applyFont="1" applyFill="1" applyBorder="1" applyAlignment="1">
      <alignment vertical="center" wrapText="1"/>
    </xf>
    <xf numFmtId="0" fontId="46" fillId="3" borderId="287" xfId="2" applyFont="1" applyFill="1" applyBorder="1" applyAlignment="1" applyProtection="1">
      <alignment vertical="center" wrapText="1"/>
      <protection locked="0"/>
    </xf>
    <xf numFmtId="0" fontId="47" fillId="2" borderId="253" xfId="2" applyFont="1" applyFill="1" applyBorder="1" applyAlignment="1" applyProtection="1">
      <alignment horizontal="center" vertical="center" wrapText="1"/>
      <protection locked="0"/>
    </xf>
    <xf numFmtId="0" fontId="47" fillId="3" borderId="287" xfId="1" applyFont="1" applyFill="1" applyBorder="1" applyAlignment="1" applyProtection="1">
      <alignment vertical="center" wrapText="1"/>
      <protection locked="0"/>
    </xf>
    <xf numFmtId="0" fontId="46" fillId="3" borderId="287" xfId="1" applyFont="1" applyFill="1" applyBorder="1" applyAlignment="1" applyProtection="1">
      <alignment vertical="center" wrapText="1"/>
      <protection locked="0"/>
    </xf>
    <xf numFmtId="0" fontId="59" fillId="3" borderId="287" xfId="2" applyFont="1" applyFill="1" applyBorder="1" applyAlignment="1" applyProtection="1">
      <alignment vertical="center" wrapText="1"/>
      <protection locked="0"/>
    </xf>
    <xf numFmtId="0" fontId="46" fillId="8" borderId="287" xfId="1" applyFont="1" applyFill="1" applyBorder="1" applyAlignment="1" applyProtection="1">
      <alignment vertical="center" wrapText="1"/>
      <protection locked="0"/>
    </xf>
    <xf numFmtId="0" fontId="46" fillId="8" borderId="287" xfId="1" applyFont="1" applyFill="1" applyBorder="1" applyAlignment="1">
      <alignment vertical="center" wrapText="1"/>
    </xf>
    <xf numFmtId="0" fontId="47" fillId="16" borderId="287" xfId="1" applyFont="1" applyFill="1" applyBorder="1" applyAlignment="1">
      <alignment horizontal="center" vertical="center" wrapText="1"/>
    </xf>
    <xf numFmtId="0" fontId="113" fillId="11" borderId="287" xfId="0" applyFont="1" applyFill="1" applyBorder="1" applyAlignment="1">
      <alignment vertical="center" wrapText="1"/>
    </xf>
    <xf numFmtId="0" fontId="47" fillId="4" borderId="287" xfId="0" applyFont="1" applyFill="1" applyBorder="1" applyAlignment="1">
      <alignment vertical="center" wrapText="1"/>
    </xf>
    <xf numFmtId="0" fontId="46" fillId="4" borderId="287" xfId="0" applyFont="1" applyFill="1" applyBorder="1" applyAlignment="1">
      <alignment vertical="center" wrapText="1"/>
    </xf>
    <xf numFmtId="0" fontId="46" fillId="0" borderId="287" xfId="0" applyFont="1" applyBorder="1" applyAlignment="1">
      <alignment vertical="center"/>
    </xf>
    <xf numFmtId="0" fontId="47" fillId="5" borderId="287" xfId="1" applyFont="1" applyFill="1" applyBorder="1" applyAlignment="1" applyProtection="1">
      <alignment horizontal="center" vertical="center" wrapText="1"/>
      <protection locked="0"/>
    </xf>
    <xf numFmtId="0" fontId="47" fillId="5" borderId="287" xfId="1" applyFont="1" applyFill="1" applyBorder="1" applyAlignment="1" applyProtection="1">
      <alignment vertical="center" wrapText="1"/>
      <protection locked="0"/>
    </xf>
    <xf numFmtId="0" fontId="47" fillId="3" borderId="287" xfId="0" applyFont="1" applyFill="1" applyBorder="1" applyAlignment="1">
      <alignment vertical="center" wrapText="1"/>
    </xf>
    <xf numFmtId="0" fontId="23" fillId="2" borderId="264" xfId="0" applyFont="1" applyFill="1" applyBorder="1"/>
    <xf numFmtId="0" fontId="23" fillId="2" borderId="284" xfId="0" applyFont="1" applyFill="1" applyBorder="1"/>
    <xf numFmtId="3" fontId="39" fillId="5" borderId="273" xfId="2" applyNumberFormat="1" applyFont="1" applyFill="1" applyBorder="1" applyAlignment="1">
      <alignment horizontal="center" vertical="center" wrapText="1"/>
    </xf>
    <xf numFmtId="3" fontId="10" fillId="3" borderId="273" xfId="0" applyNumberFormat="1" applyFont="1" applyFill="1" applyBorder="1" applyAlignment="1">
      <alignment horizontal="center" vertical="center"/>
    </xf>
    <xf numFmtId="0" fontId="23" fillId="2" borderId="273" xfId="0" applyFont="1" applyFill="1" applyBorder="1"/>
    <xf numFmtId="0" fontId="23" fillId="2" borderId="301" xfId="0" applyFont="1" applyFill="1" applyBorder="1"/>
    <xf numFmtId="3" fontId="9" fillId="2" borderId="275" xfId="0" applyNumberFormat="1" applyFont="1" applyFill="1" applyBorder="1" applyAlignment="1">
      <alignment horizontal="center" vertical="center"/>
    </xf>
    <xf numFmtId="3" fontId="39" fillId="5" borderId="275" xfId="2" applyNumberFormat="1" applyFont="1" applyFill="1" applyBorder="1" applyAlignment="1">
      <alignment horizontal="center" vertical="center" wrapText="1"/>
    </xf>
    <xf numFmtId="3" fontId="24" fillId="3" borderId="275" xfId="0" applyNumberFormat="1" applyFont="1" applyFill="1" applyBorder="1" applyAlignment="1">
      <alignment horizontal="center" vertical="center"/>
    </xf>
    <xf numFmtId="3" fontId="24" fillId="2" borderId="275" xfId="0" applyNumberFormat="1" applyFont="1" applyFill="1" applyBorder="1" applyAlignment="1">
      <alignment horizontal="center" vertical="center"/>
    </xf>
    <xf numFmtId="3" fontId="24" fillId="2" borderId="294" xfId="0" applyNumberFormat="1" applyFont="1" applyFill="1" applyBorder="1" applyAlignment="1">
      <alignment horizontal="center" vertical="center"/>
    </xf>
    <xf numFmtId="0" fontId="9" fillId="3" borderId="264" xfId="2" applyFont="1" applyFill="1" applyBorder="1" applyAlignment="1">
      <alignment horizontal="left" vertical="center" wrapText="1"/>
    </xf>
    <xf numFmtId="2" fontId="109" fillId="3" borderId="264" xfId="0" applyNumberFormat="1" applyFont="1" applyFill="1" applyBorder="1" applyAlignment="1">
      <alignment horizontal="left" vertical="center" wrapText="1"/>
    </xf>
    <xf numFmtId="2" fontId="109" fillId="3" borderId="274" xfId="0" applyNumberFormat="1" applyFont="1" applyFill="1" applyBorder="1" applyAlignment="1">
      <alignment horizontal="left" vertical="center" wrapText="1"/>
    </xf>
    <xf numFmtId="2" fontId="23" fillId="3" borderId="274" xfId="0" applyNumberFormat="1" applyFont="1" applyFill="1" applyBorder="1" applyAlignment="1">
      <alignment horizontal="left" vertical="center" wrapText="1"/>
    </xf>
    <xf numFmtId="2" fontId="23" fillId="2" borderId="264" xfId="0" applyNumberFormat="1" applyFont="1" applyFill="1" applyBorder="1" applyAlignment="1">
      <alignment horizontal="left" vertical="center" wrapText="1"/>
    </xf>
    <xf numFmtId="2" fontId="23" fillId="2" borderId="284" xfId="0" applyNumberFormat="1" applyFont="1" applyFill="1" applyBorder="1" applyAlignment="1">
      <alignment horizontal="left" vertical="center" wrapText="1"/>
    </xf>
    <xf numFmtId="3" fontId="4" fillId="3" borderId="267" xfId="0" applyNumberFormat="1" applyFont="1" applyFill="1" applyBorder="1" applyAlignment="1">
      <alignment horizontal="center" vertical="center"/>
    </xf>
    <xf numFmtId="0" fontId="23" fillId="2" borderId="287" xfId="0" applyFont="1" applyFill="1" applyBorder="1"/>
    <xf numFmtId="0" fontId="23" fillId="2" borderId="267" xfId="0" applyFont="1" applyFill="1" applyBorder="1"/>
    <xf numFmtId="0" fontId="23" fillId="2" borderId="288" xfId="0" applyFont="1" applyFill="1" applyBorder="1"/>
    <xf numFmtId="0" fontId="23" fillId="2" borderId="290" xfId="0" applyFont="1" applyFill="1" applyBorder="1"/>
    <xf numFmtId="3" fontId="9" fillId="6" borderId="271" xfId="0" applyNumberFormat="1" applyFont="1" applyFill="1" applyBorder="1" applyAlignment="1" applyProtection="1">
      <alignment horizontal="center" vertical="center" wrapText="1"/>
      <protection locked="0"/>
    </xf>
    <xf numFmtId="3" fontId="39" fillId="5" borderId="271" xfId="2" applyNumberFormat="1" applyFont="1" applyFill="1" applyBorder="1" applyAlignment="1">
      <alignment horizontal="center" vertical="center" wrapText="1"/>
    </xf>
    <xf numFmtId="3" fontId="9" fillId="3" borderId="271" xfId="0" applyNumberFormat="1" applyFont="1" applyFill="1" applyBorder="1" applyAlignment="1">
      <alignment horizontal="center" vertical="center"/>
    </xf>
    <xf numFmtId="3" fontId="10" fillId="3" borderId="271" xfId="5" applyNumberFormat="1" applyFont="1" applyFill="1" applyBorder="1" applyAlignment="1">
      <alignment horizontal="center" vertical="center"/>
    </xf>
    <xf numFmtId="3" fontId="10" fillId="3" borderId="271" xfId="6" applyNumberFormat="1" applyFont="1" applyFill="1" applyBorder="1" applyAlignment="1">
      <alignment horizontal="center" vertical="center"/>
    </xf>
    <xf numFmtId="3" fontId="10" fillId="2" borderId="176" xfId="6" applyNumberFormat="1" applyFont="1" applyFill="1" applyBorder="1" applyAlignment="1">
      <alignment horizontal="center" vertical="center"/>
    </xf>
    <xf numFmtId="0" fontId="23" fillId="2" borderId="280" xfId="0" applyFont="1" applyFill="1" applyBorder="1"/>
    <xf numFmtId="3" fontId="10" fillId="3" borderId="275" xfId="5" applyNumberFormat="1" applyFont="1" applyFill="1" applyBorder="1" applyAlignment="1">
      <alignment horizontal="center" vertical="center"/>
    </xf>
    <xf numFmtId="3" fontId="10" fillId="3" borderId="275" xfId="6" applyNumberFormat="1" applyFont="1" applyFill="1" applyBorder="1" applyAlignment="1">
      <alignment horizontal="center" vertical="center"/>
    </xf>
    <xf numFmtId="3" fontId="10" fillId="3" borderId="217" xfId="6" applyNumberFormat="1" applyFont="1" applyFill="1" applyBorder="1" applyAlignment="1">
      <alignment horizontal="center" vertical="center"/>
    </xf>
    <xf numFmtId="0" fontId="23" fillId="2" borderId="275" xfId="0" applyFont="1" applyFill="1" applyBorder="1"/>
    <xf numFmtId="0" fontId="23" fillId="2" borderId="294" xfId="0" applyFont="1" applyFill="1" applyBorder="1"/>
    <xf numFmtId="0" fontId="23" fillId="2" borderId="271" xfId="0" applyFont="1" applyFill="1" applyBorder="1"/>
    <xf numFmtId="3" fontId="60" fillId="3" borderId="267" xfId="0" applyNumberFormat="1" applyFont="1" applyFill="1" applyBorder="1" applyAlignment="1">
      <alignment horizontal="center" vertical="center"/>
    </xf>
    <xf numFmtId="4" fontId="104" fillId="0" borderId="0" xfId="0" applyNumberFormat="1" applyFont="1"/>
    <xf numFmtId="0" fontId="157" fillId="2" borderId="57" xfId="0" applyFont="1" applyFill="1" applyBorder="1" applyAlignment="1">
      <alignment horizontal="center" vertical="center" wrapText="1"/>
    </xf>
    <xf numFmtId="0" fontId="157" fillId="2" borderId="10" xfId="0" applyFont="1" applyFill="1" applyBorder="1" applyAlignment="1">
      <alignment horizontal="center" vertical="center" wrapText="1"/>
    </xf>
    <xf numFmtId="3" fontId="158" fillId="2" borderId="11" xfId="0" applyNumberFormat="1" applyFont="1" applyFill="1" applyBorder="1" applyAlignment="1">
      <alignment horizontal="left" vertical="center" wrapText="1"/>
    </xf>
    <xf numFmtId="3" fontId="158" fillId="2" borderId="45" xfId="0" applyNumberFormat="1" applyFont="1" applyFill="1" applyBorder="1" applyAlignment="1">
      <alignment horizontal="center" vertical="center" wrapText="1"/>
    </xf>
    <xf numFmtId="3" fontId="158" fillId="2" borderId="44" xfId="0" applyNumberFormat="1" applyFont="1" applyFill="1" applyBorder="1" applyAlignment="1">
      <alignment horizontal="center" vertical="center" wrapText="1"/>
    </xf>
    <xf numFmtId="3" fontId="158" fillId="2" borderId="10" xfId="0" applyNumberFormat="1" applyFont="1" applyFill="1" applyBorder="1" applyAlignment="1">
      <alignment horizontal="center" vertical="center" wrapText="1"/>
    </xf>
    <xf numFmtId="3" fontId="158" fillId="2" borderId="5" xfId="0" applyNumberFormat="1" applyFont="1" applyFill="1" applyBorder="1" applyAlignment="1">
      <alignment horizontal="center" vertical="center" wrapText="1"/>
    </xf>
    <xf numFmtId="0" fontId="158" fillId="2" borderId="136" xfId="0" applyFont="1" applyFill="1" applyBorder="1" applyAlignment="1">
      <alignment horizontal="center" vertical="center"/>
    </xf>
    <xf numFmtId="3" fontId="158" fillId="2" borderId="125" xfId="0" applyNumberFormat="1" applyFont="1" applyFill="1" applyBorder="1" applyAlignment="1">
      <alignment horizontal="center" vertical="center" wrapText="1"/>
    </xf>
    <xf numFmtId="3" fontId="158" fillId="2" borderId="128" xfId="0" applyNumberFormat="1" applyFont="1" applyFill="1" applyBorder="1" applyAlignment="1">
      <alignment horizontal="center" vertical="center" wrapText="1"/>
    </xf>
    <xf numFmtId="3" fontId="158" fillId="2" borderId="211" xfId="0" applyNumberFormat="1" applyFont="1" applyFill="1" applyBorder="1" applyAlignment="1">
      <alignment horizontal="center" vertical="center" wrapText="1"/>
    </xf>
    <xf numFmtId="3" fontId="158" fillId="2" borderId="263" xfId="0" applyNumberFormat="1" applyFont="1" applyFill="1" applyBorder="1" applyAlignment="1">
      <alignment horizontal="center" vertical="center" wrapText="1"/>
    </xf>
    <xf numFmtId="3" fontId="158" fillId="2" borderId="287" xfId="0" applyNumberFormat="1" applyFont="1" applyFill="1" applyBorder="1" applyAlignment="1">
      <alignment horizontal="center" vertical="center" wrapText="1"/>
    </xf>
    <xf numFmtId="3" fontId="158" fillId="2" borderId="267" xfId="0" applyNumberFormat="1" applyFont="1" applyFill="1" applyBorder="1" applyAlignment="1">
      <alignment horizontal="center" vertical="center" wrapText="1"/>
    </xf>
    <xf numFmtId="3" fontId="158" fillId="2" borderId="199" xfId="0" applyNumberFormat="1" applyFont="1" applyFill="1" applyBorder="1" applyAlignment="1">
      <alignment horizontal="center" vertical="center" wrapText="1"/>
    </xf>
    <xf numFmtId="3" fontId="158" fillId="2" borderId="153" xfId="0" applyNumberFormat="1" applyFont="1" applyFill="1" applyBorder="1" applyAlignment="1">
      <alignment horizontal="center" vertical="center" wrapText="1"/>
    </xf>
    <xf numFmtId="3" fontId="157" fillId="3" borderId="47" xfId="0" applyNumberFormat="1" applyFont="1" applyFill="1" applyBorder="1" applyAlignment="1">
      <alignment horizontal="center" vertical="center"/>
    </xf>
    <xf numFmtId="3" fontId="157" fillId="3" borderId="125" xfId="0" applyNumberFormat="1" applyFont="1" applyFill="1" applyBorder="1" applyAlignment="1">
      <alignment horizontal="left" vertical="center" wrapText="1"/>
    </xf>
    <xf numFmtId="3" fontId="157" fillId="3" borderId="128" xfId="0" applyNumberFormat="1" applyFont="1" applyFill="1" applyBorder="1" applyAlignment="1">
      <alignment horizontal="center" vertical="center" wrapText="1"/>
    </xf>
    <xf numFmtId="3" fontId="157" fillId="3" borderId="153" xfId="0" applyNumberFormat="1" applyFont="1" applyFill="1" applyBorder="1" applyAlignment="1">
      <alignment horizontal="center" vertical="center"/>
    </xf>
    <xf numFmtId="3" fontId="157" fillId="3" borderId="263" xfId="0" applyNumberFormat="1" applyFont="1" applyFill="1" applyBorder="1" applyAlignment="1">
      <alignment horizontal="center" vertical="center"/>
    </xf>
    <xf numFmtId="3" fontId="157" fillId="3" borderId="287" xfId="0" applyNumberFormat="1" applyFont="1" applyFill="1" applyBorder="1" applyAlignment="1">
      <alignment horizontal="center" vertical="center" wrapText="1"/>
    </xf>
    <xf numFmtId="3" fontId="157" fillId="3" borderId="267" xfId="0" applyNumberFormat="1" applyFont="1" applyFill="1" applyBorder="1" applyAlignment="1">
      <alignment horizontal="center" vertical="center"/>
    </xf>
    <xf numFmtId="3" fontId="157" fillId="3" borderId="199" xfId="0" applyNumberFormat="1" applyFont="1" applyFill="1" applyBorder="1" applyAlignment="1">
      <alignment horizontal="center" vertical="center"/>
    </xf>
    <xf numFmtId="0" fontId="157" fillId="3" borderId="125" xfId="0" applyFont="1" applyFill="1" applyBorder="1" applyAlignment="1">
      <alignment horizontal="left" vertical="center" wrapText="1"/>
    </xf>
    <xf numFmtId="0" fontId="157" fillId="3" borderId="136" xfId="0" applyFont="1" applyFill="1" applyBorder="1" applyAlignment="1">
      <alignment horizontal="center" vertical="center"/>
    </xf>
    <xf numFmtId="3" fontId="158" fillId="3" borderId="153" xfId="0" applyNumberFormat="1" applyFont="1" applyFill="1" applyBorder="1" applyAlignment="1">
      <alignment horizontal="center" vertical="center"/>
    </xf>
    <xf numFmtId="3" fontId="158" fillId="3" borderId="267" xfId="0" applyNumberFormat="1" applyFont="1" applyFill="1" applyBorder="1" applyAlignment="1">
      <alignment horizontal="center" vertical="center"/>
    </xf>
    <xf numFmtId="3" fontId="157" fillId="3" borderId="128" xfId="0" applyNumberFormat="1" applyFont="1" applyFill="1" applyBorder="1" applyAlignment="1">
      <alignment horizontal="center" vertical="center"/>
    </xf>
    <xf numFmtId="3" fontId="160" fillId="3" borderId="153" xfId="0" applyNumberFormat="1" applyFont="1" applyFill="1" applyBorder="1" applyAlignment="1">
      <alignment horizontal="center" vertical="center"/>
    </xf>
    <xf numFmtId="3" fontId="157" fillId="3" borderId="287" xfId="0" applyNumberFormat="1" applyFont="1" applyFill="1" applyBorder="1" applyAlignment="1">
      <alignment horizontal="center" vertical="center"/>
    </xf>
    <xf numFmtId="3" fontId="160" fillId="3" borderId="267" xfId="0" applyNumberFormat="1" applyFont="1" applyFill="1" applyBorder="1" applyAlignment="1">
      <alignment horizontal="center" vertical="center"/>
    </xf>
    <xf numFmtId="3" fontId="157" fillId="3" borderId="262" xfId="0" applyNumberFormat="1" applyFont="1" applyFill="1" applyBorder="1" applyAlignment="1">
      <alignment horizontal="center" vertical="center"/>
    </xf>
    <xf numFmtId="3" fontId="157" fillId="3" borderId="203" xfId="0" applyNumberFormat="1" applyFont="1" applyFill="1" applyBorder="1" applyAlignment="1">
      <alignment horizontal="center" vertical="center"/>
    </xf>
    <xf numFmtId="3" fontId="157" fillId="3" borderId="153" xfId="0" applyNumberFormat="1" applyFont="1" applyFill="1" applyBorder="1" applyAlignment="1">
      <alignment horizontal="center" vertical="center" wrapText="1"/>
    </xf>
    <xf numFmtId="3" fontId="157" fillId="3" borderId="267" xfId="0" applyNumberFormat="1" applyFont="1" applyFill="1" applyBorder="1" applyAlignment="1">
      <alignment horizontal="center" vertical="center" wrapText="1"/>
    </xf>
    <xf numFmtId="3" fontId="157" fillId="3" borderId="134" xfId="0" applyNumberFormat="1" applyFont="1" applyFill="1" applyBorder="1" applyAlignment="1">
      <alignment horizontal="left" vertical="center" wrapText="1"/>
    </xf>
    <xf numFmtId="3" fontId="160" fillId="3" borderId="262" xfId="0" applyNumberFormat="1" applyFont="1" applyFill="1" applyBorder="1" applyAlignment="1">
      <alignment horizontal="center" vertical="center"/>
    </xf>
    <xf numFmtId="3" fontId="160" fillId="3" borderId="203" xfId="0" applyNumberFormat="1" applyFont="1" applyFill="1" applyBorder="1" applyAlignment="1">
      <alignment horizontal="center" vertical="center"/>
    </xf>
    <xf numFmtId="3" fontId="157" fillId="3" borderId="204" xfId="0" applyNumberFormat="1" applyFont="1" applyFill="1" applyBorder="1" applyAlignment="1">
      <alignment horizontal="left" vertical="center" wrapText="1"/>
    </xf>
    <xf numFmtId="3" fontId="157" fillId="3" borderId="215" xfId="0" applyNumberFormat="1" applyFont="1" applyFill="1" applyBorder="1" applyAlignment="1">
      <alignment horizontal="center" vertical="center"/>
    </xf>
    <xf numFmtId="3" fontId="157" fillId="3" borderId="216" xfId="0" applyNumberFormat="1" applyFont="1" applyFill="1" applyBorder="1" applyAlignment="1">
      <alignment horizontal="center" vertical="center"/>
    </xf>
    <xf numFmtId="3" fontId="157" fillId="3" borderId="218" xfId="0" applyNumberFormat="1" applyFont="1" applyFill="1" applyBorder="1" applyAlignment="1">
      <alignment horizontal="center" vertical="center"/>
    </xf>
    <xf numFmtId="1" fontId="104" fillId="0" borderId="0" xfId="0" applyNumberFormat="1" applyFont="1"/>
    <xf numFmtId="0" fontId="58" fillId="0" borderId="0" xfId="0" applyFont="1" applyAlignment="1">
      <alignment horizontal="left" vertical="center"/>
    </xf>
    <xf numFmtId="49" fontId="47" fillId="5" borderId="272" xfId="2" applyNumberFormat="1" applyFont="1" applyFill="1" applyBorder="1" applyAlignment="1">
      <alignment horizontal="center" vertical="center" textRotation="255" wrapText="1"/>
    </xf>
    <xf numFmtId="49" fontId="47" fillId="5" borderId="266" xfId="2" applyNumberFormat="1" applyFont="1" applyFill="1" applyBorder="1" applyAlignment="1">
      <alignment horizontal="center" vertical="center" textRotation="255" wrapText="1"/>
    </xf>
    <xf numFmtId="0" fontId="47" fillId="5" borderId="264" xfId="2" applyFont="1" applyFill="1" applyBorder="1" applyAlignment="1">
      <alignment horizontal="center" vertical="center" wrapText="1"/>
    </xf>
    <xf numFmtId="3" fontId="46" fillId="5" borderId="287" xfId="2" applyNumberFormat="1" applyFont="1" applyFill="1" applyBorder="1" applyAlignment="1">
      <alignment horizontal="center" vertical="center" wrapText="1"/>
    </xf>
    <xf numFmtId="3" fontId="46" fillId="5" borderId="266" xfId="2" applyNumberFormat="1" applyFont="1" applyFill="1" applyBorder="1" applyAlignment="1">
      <alignment horizontal="center" vertical="center" wrapText="1"/>
    </xf>
    <xf numFmtId="3" fontId="46" fillId="5" borderId="267" xfId="2" applyNumberFormat="1" applyFont="1" applyFill="1" applyBorder="1" applyAlignment="1">
      <alignment horizontal="center" vertical="center" wrapText="1"/>
    </xf>
    <xf numFmtId="3" fontId="46" fillId="5" borderId="263" xfId="2" applyNumberFormat="1" applyFont="1" applyFill="1" applyBorder="1" applyAlignment="1">
      <alignment horizontal="center" vertical="center" wrapText="1"/>
    </xf>
    <xf numFmtId="0" fontId="47" fillId="5" borderId="264" xfId="2" applyFont="1" applyFill="1" applyBorder="1" applyAlignment="1">
      <alignment horizontal="left" vertical="center" wrapText="1"/>
    </xf>
    <xf numFmtId="49" fontId="47" fillId="0" borderId="272" xfId="2" applyNumberFormat="1" applyFont="1" applyFill="1" applyBorder="1" applyAlignment="1">
      <alignment horizontal="center" vertical="center" textRotation="255" wrapText="1"/>
    </xf>
    <xf numFmtId="49" fontId="47" fillId="0" borderId="266" xfId="2" applyNumberFormat="1" applyFont="1" applyFill="1" applyBorder="1" applyAlignment="1">
      <alignment horizontal="center" vertical="center" textRotation="255" wrapText="1"/>
    </xf>
    <xf numFmtId="49" fontId="60" fillId="8" borderId="266" xfId="2" applyNumberFormat="1" applyFont="1" applyFill="1" applyBorder="1" applyAlignment="1">
      <alignment horizontal="center" vertical="center" wrapText="1"/>
    </xf>
    <xf numFmtId="0" fontId="47" fillId="0" borderId="264" xfId="2" applyFont="1" applyFill="1" applyBorder="1" applyAlignment="1">
      <alignment horizontal="left" vertical="center" wrapText="1"/>
    </xf>
    <xf numFmtId="3" fontId="47" fillId="0" borderId="287" xfId="2" applyNumberFormat="1" applyFont="1" applyFill="1" applyBorder="1" applyAlignment="1">
      <alignment horizontal="center" vertical="center" wrapText="1"/>
    </xf>
    <xf numFmtId="3" fontId="47" fillId="0" borderId="266" xfId="2" applyNumberFormat="1" applyFont="1" applyFill="1" applyBorder="1" applyAlignment="1">
      <alignment horizontal="center" vertical="center" wrapText="1"/>
    </xf>
    <xf numFmtId="3" fontId="47" fillId="0" borderId="267" xfId="2" applyNumberFormat="1" applyFont="1" applyFill="1" applyBorder="1" applyAlignment="1">
      <alignment horizontal="center" vertical="center" wrapText="1"/>
    </xf>
    <xf numFmtId="3" fontId="47" fillId="0" borderId="263" xfId="2" applyNumberFormat="1" applyFont="1" applyFill="1" applyBorder="1" applyAlignment="1">
      <alignment horizontal="center" vertical="center" wrapText="1"/>
    </xf>
    <xf numFmtId="3" fontId="60" fillId="3" borderId="287" xfId="0" applyNumberFormat="1" applyFont="1" applyFill="1" applyBorder="1" applyAlignment="1">
      <alignment horizontal="center" vertical="center"/>
    </xf>
    <xf numFmtId="3" fontId="47" fillId="0" borderId="287" xfId="2" applyNumberFormat="1" applyFont="1" applyBorder="1" applyAlignment="1">
      <alignment horizontal="center" vertical="center" wrapText="1"/>
    </xf>
    <xf numFmtId="3" fontId="47" fillId="0" borderId="266" xfId="2" applyNumberFormat="1" applyFont="1" applyBorder="1" applyAlignment="1">
      <alignment horizontal="center" vertical="center" wrapText="1"/>
    </xf>
    <xf numFmtId="3" fontId="47" fillId="0" borderId="267" xfId="2" applyNumberFormat="1" applyFont="1" applyBorder="1" applyAlignment="1">
      <alignment horizontal="center" vertical="center" wrapText="1"/>
    </xf>
    <xf numFmtId="49" fontId="60" fillId="8" borderId="272" xfId="2" applyNumberFormat="1" applyFont="1" applyFill="1" applyBorder="1" applyAlignment="1">
      <alignment horizontal="center" vertical="center" wrapText="1"/>
    </xf>
    <xf numFmtId="0" fontId="60" fillId="8" borderId="264" xfId="2" applyFont="1" applyFill="1" applyBorder="1" applyAlignment="1">
      <alignment horizontal="left" vertical="center" wrapText="1"/>
    </xf>
    <xf numFmtId="49" fontId="59" fillId="8" borderId="272" xfId="2" applyNumberFormat="1" applyFont="1" applyFill="1" applyBorder="1" applyAlignment="1">
      <alignment horizontal="center" vertical="center" wrapText="1"/>
    </xf>
    <xf numFmtId="49" fontId="59" fillId="8" borderId="266" xfId="2" applyNumberFormat="1" applyFont="1" applyFill="1" applyBorder="1" applyAlignment="1">
      <alignment horizontal="center" vertical="center" wrapText="1"/>
    </xf>
    <xf numFmtId="49" fontId="59" fillId="8" borderId="266" xfId="2" applyNumberFormat="1" applyFont="1" applyFill="1" applyBorder="1" applyAlignment="1" applyProtection="1">
      <alignment horizontal="center" vertical="center" wrapText="1"/>
      <protection locked="0"/>
    </xf>
    <xf numFmtId="0" fontId="59" fillId="8" borderId="264" xfId="2" applyFont="1" applyFill="1" applyBorder="1" applyAlignment="1" applyProtection="1">
      <alignment horizontal="left" vertical="center" wrapText="1"/>
      <protection locked="0"/>
    </xf>
    <xf numFmtId="49" fontId="59" fillId="0" borderId="272" xfId="2" applyNumberFormat="1" applyFont="1" applyFill="1" applyBorder="1" applyAlignment="1">
      <alignment horizontal="center" vertical="center" wrapText="1"/>
    </xf>
    <xf numFmtId="0" fontId="59" fillId="0" borderId="264" xfId="1" applyFont="1" applyFill="1" applyBorder="1" applyAlignment="1" applyProtection="1">
      <alignment horizontal="left" vertical="center" wrapText="1"/>
      <protection locked="0"/>
    </xf>
    <xf numFmtId="3" fontId="59" fillId="0" borderId="287" xfId="0" applyNumberFormat="1" applyFont="1" applyFill="1" applyBorder="1" applyAlignment="1">
      <alignment horizontal="center" vertical="center"/>
    </xf>
    <xf numFmtId="3" fontId="59" fillId="0" borderId="266" xfId="0" applyNumberFormat="1" applyFont="1" applyFill="1" applyBorder="1" applyAlignment="1">
      <alignment horizontal="center" vertical="center"/>
    </xf>
    <xf numFmtId="3" fontId="59" fillId="0" borderId="267" xfId="0" applyNumberFormat="1" applyFont="1" applyFill="1" applyBorder="1" applyAlignment="1">
      <alignment horizontal="center" vertical="center"/>
    </xf>
    <xf numFmtId="3" fontId="59" fillId="0" borderId="287" xfId="0" applyNumberFormat="1" applyFont="1" applyBorder="1" applyAlignment="1">
      <alignment horizontal="center" vertical="center"/>
    </xf>
    <xf numFmtId="3" fontId="59" fillId="0" borderId="266" xfId="0" applyNumberFormat="1" applyFont="1" applyBorder="1" applyAlignment="1">
      <alignment horizontal="center" vertical="center"/>
    </xf>
    <xf numFmtId="3" fontId="59" fillId="0" borderId="267" xfId="0" applyNumberFormat="1" applyFont="1" applyBorder="1" applyAlignment="1">
      <alignment horizontal="center" vertical="center"/>
    </xf>
    <xf numFmtId="49" fontId="59" fillId="0" borderId="266" xfId="2" applyNumberFormat="1" applyFont="1" applyFill="1" applyBorder="1" applyAlignment="1">
      <alignment horizontal="center" vertical="center" wrapText="1"/>
    </xf>
    <xf numFmtId="49" fontId="59" fillId="0" borderId="266" xfId="2" applyNumberFormat="1" applyFont="1" applyFill="1" applyBorder="1" applyAlignment="1" applyProtection="1">
      <alignment horizontal="center" vertical="center" wrapText="1"/>
      <protection locked="0"/>
    </xf>
    <xf numFmtId="49" fontId="60" fillId="8" borderId="266" xfId="2" applyNumberFormat="1" applyFont="1" applyFill="1" applyBorder="1" applyAlignment="1" applyProtection="1">
      <alignment horizontal="center" vertical="center" wrapText="1"/>
      <protection locked="0"/>
    </xf>
    <xf numFmtId="0" fontId="60" fillId="8" borderId="264" xfId="2" applyFont="1" applyFill="1" applyBorder="1" applyAlignment="1" applyProtection="1">
      <alignment horizontal="left" vertical="center" wrapText="1"/>
      <protection locked="0"/>
    </xf>
    <xf numFmtId="49" fontId="59" fillId="3" borderId="266" xfId="2" applyNumberFormat="1" applyFont="1" applyFill="1" applyBorder="1" applyAlignment="1">
      <alignment horizontal="center" vertical="center" wrapText="1"/>
    </xf>
    <xf numFmtId="49" fontId="59" fillId="3" borderId="266" xfId="2" applyNumberFormat="1" applyFont="1" applyFill="1" applyBorder="1" applyAlignment="1" applyProtection="1">
      <alignment horizontal="center" vertical="center" wrapText="1"/>
      <protection locked="0"/>
    </xf>
    <xf numFmtId="0" fontId="59" fillId="3" borderId="264" xfId="2" applyFont="1" applyFill="1" applyBorder="1" applyAlignment="1" applyProtection="1">
      <alignment horizontal="left" vertical="center" wrapText="1"/>
      <protection locked="0"/>
    </xf>
    <xf numFmtId="0" fontId="59" fillId="3" borderId="264" xfId="1" applyFont="1" applyFill="1" applyBorder="1" applyAlignment="1" applyProtection="1">
      <alignment horizontal="left" vertical="center" wrapText="1"/>
      <protection locked="0"/>
    </xf>
    <xf numFmtId="3" fontId="60" fillId="0" borderId="287" xfId="0" applyNumberFormat="1" applyFont="1" applyBorder="1" applyAlignment="1">
      <alignment horizontal="center" vertical="center"/>
    </xf>
    <xf numFmtId="3" fontId="60" fillId="0" borderId="266" xfId="0" applyNumberFormat="1" applyFont="1" applyBorder="1" applyAlignment="1">
      <alignment horizontal="center" vertical="center"/>
    </xf>
    <xf numFmtId="3" fontId="60" fillId="0" borderId="267" xfId="0" applyNumberFormat="1" applyFont="1" applyBorder="1" applyAlignment="1">
      <alignment horizontal="center" vertical="center"/>
    </xf>
    <xf numFmtId="49" fontId="60" fillId="0" borderId="272" xfId="2" applyNumberFormat="1" applyFont="1" applyFill="1" applyBorder="1" applyAlignment="1">
      <alignment horizontal="center" vertical="center" wrapText="1"/>
    </xf>
    <xf numFmtId="49" fontId="60" fillId="3" borderId="266" xfId="2" applyNumberFormat="1" applyFont="1" applyFill="1" applyBorder="1" applyAlignment="1">
      <alignment horizontal="center" vertical="center" wrapText="1"/>
    </xf>
    <xf numFmtId="49" fontId="60" fillId="3" borderId="266" xfId="2" applyNumberFormat="1" applyFont="1" applyFill="1" applyBorder="1" applyAlignment="1" applyProtection="1">
      <alignment horizontal="center" vertical="center" wrapText="1"/>
      <protection locked="0"/>
    </xf>
    <xf numFmtId="0" fontId="60" fillId="3" borderId="264" xfId="1" applyFont="1" applyFill="1" applyBorder="1" applyAlignment="1" applyProtection="1">
      <alignment horizontal="left" vertical="center" wrapText="1"/>
      <protection locked="0"/>
    </xf>
    <xf numFmtId="0" fontId="60" fillId="3" borderId="264" xfId="2" applyFont="1" applyFill="1" applyBorder="1" applyAlignment="1" applyProtection="1">
      <alignment horizontal="left" vertical="center" wrapText="1"/>
      <protection locked="0"/>
    </xf>
    <xf numFmtId="3" fontId="60" fillId="3" borderId="275" xfId="0" applyNumberFormat="1" applyFont="1" applyFill="1" applyBorder="1" applyAlignment="1">
      <alignment horizontal="center" vertical="center"/>
    </xf>
    <xf numFmtId="3" fontId="60" fillId="0" borderId="271" xfId="0" applyNumberFormat="1" applyFont="1" applyBorder="1" applyAlignment="1">
      <alignment horizontal="center" vertical="center"/>
    </xf>
    <xf numFmtId="3" fontId="59" fillId="3" borderId="275" xfId="0" applyNumberFormat="1" applyFont="1" applyFill="1" applyBorder="1" applyAlignment="1">
      <alignment horizontal="center" vertical="center"/>
    </xf>
    <xf numFmtId="3" fontId="59" fillId="0" borderId="271" xfId="0" applyNumberFormat="1" applyFont="1" applyBorder="1" applyAlignment="1">
      <alignment horizontal="center" vertical="center"/>
    </xf>
    <xf numFmtId="49" fontId="60" fillId="0" borderId="300" xfId="2" applyNumberFormat="1" applyFont="1" applyFill="1" applyBorder="1" applyAlignment="1">
      <alignment horizontal="center" vertical="center" wrapText="1"/>
    </xf>
    <xf numFmtId="49" fontId="60" fillId="0" borderId="24" xfId="2" applyNumberFormat="1" applyFont="1" applyFill="1" applyBorder="1" applyAlignment="1">
      <alignment horizontal="center" vertical="center" wrapText="1"/>
    </xf>
    <xf numFmtId="49" fontId="60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43" fillId="0" borderId="117" xfId="2" applyFont="1" applyFill="1" applyBorder="1" applyAlignment="1" applyProtection="1">
      <alignment horizontal="left" vertical="center" wrapText="1"/>
      <protection locked="0"/>
    </xf>
    <xf numFmtId="0" fontId="62" fillId="0" borderId="287" xfId="0" applyFont="1" applyFill="1" applyBorder="1"/>
    <xf numFmtId="3" fontId="62" fillId="0" borderId="266" xfId="0" applyNumberFormat="1" applyFont="1" applyBorder="1"/>
    <xf numFmtId="0" fontId="62" fillId="0" borderId="267" xfId="0" applyFont="1" applyFill="1" applyBorder="1"/>
    <xf numFmtId="0" fontId="62" fillId="0" borderId="0" xfId="0" applyFont="1" applyFill="1" applyBorder="1"/>
    <xf numFmtId="0" fontId="83" fillId="0" borderId="117" xfId="2" applyFont="1" applyFill="1" applyBorder="1" applyAlignment="1" applyProtection="1">
      <alignment horizontal="left" vertical="center" wrapText="1"/>
      <protection locked="0"/>
    </xf>
    <xf numFmtId="0" fontId="62" fillId="2" borderId="272" xfId="0" applyFont="1" applyFill="1" applyBorder="1"/>
    <xf numFmtId="0" fontId="62" fillId="2" borderId="266" xfId="0" applyFont="1" applyFill="1" applyBorder="1"/>
    <xf numFmtId="0" fontId="154" fillId="2" borderId="264" xfId="0" applyFont="1" applyFill="1" applyBorder="1"/>
    <xf numFmtId="3" fontId="58" fillId="2" borderId="287" xfId="0" applyNumberFormat="1" applyFont="1" applyFill="1" applyBorder="1" applyAlignment="1">
      <alignment horizontal="center" vertical="center"/>
    </xf>
    <xf numFmtId="0" fontId="58" fillId="2" borderId="266" xfId="0" applyFont="1" applyFill="1" applyBorder="1" applyAlignment="1">
      <alignment horizontal="center" vertical="center"/>
    </xf>
    <xf numFmtId="3" fontId="58" fillId="2" borderId="267" xfId="0" applyNumberFormat="1" applyFont="1" applyFill="1" applyBorder="1" applyAlignment="1">
      <alignment horizontal="center" vertical="center"/>
    </xf>
    <xf numFmtId="3" fontId="58" fillId="2" borderId="263" xfId="0" applyNumberFormat="1" applyFont="1" applyFill="1" applyBorder="1" applyAlignment="1">
      <alignment horizontal="center" vertical="center"/>
    </xf>
    <xf numFmtId="0" fontId="62" fillId="2" borderId="287" xfId="0" applyFont="1" applyFill="1" applyBorder="1"/>
    <xf numFmtId="0" fontId="62" fillId="2" borderId="267" xfId="0" applyFont="1" applyFill="1" applyBorder="1"/>
    <xf numFmtId="0" fontId="62" fillId="2" borderId="275" xfId="0" applyFont="1" applyFill="1" applyBorder="1"/>
    <xf numFmtId="0" fontId="58" fillId="2" borderId="271" xfId="0" applyFont="1" applyFill="1" applyBorder="1" applyAlignment="1">
      <alignment horizontal="center" vertical="center"/>
    </xf>
    <xf numFmtId="3" fontId="58" fillId="2" borderId="275" xfId="0" applyNumberFormat="1" applyFont="1" applyFill="1" applyBorder="1" applyAlignment="1">
      <alignment horizontal="center" vertical="center"/>
    </xf>
    <xf numFmtId="0" fontId="162" fillId="2" borderId="266" xfId="0" applyFont="1" applyFill="1" applyBorder="1"/>
    <xf numFmtId="49" fontId="163" fillId="5" borderId="266" xfId="2" applyNumberFormat="1" applyFont="1" applyFill="1" applyBorder="1" applyAlignment="1">
      <alignment vertical="center" wrapText="1"/>
    </xf>
    <xf numFmtId="0" fontId="58" fillId="2" borderId="287" xfId="0" applyFont="1" applyFill="1" applyBorder="1" applyAlignment="1">
      <alignment horizontal="center" vertical="center"/>
    </xf>
    <xf numFmtId="3" fontId="58" fillId="2" borderId="266" xfId="0" applyNumberFormat="1" applyFont="1" applyFill="1" applyBorder="1" applyAlignment="1">
      <alignment horizontal="center" vertical="center"/>
    </xf>
    <xf numFmtId="3" fontId="58" fillId="2" borderId="271" xfId="0" applyNumberFormat="1" applyFont="1" applyFill="1" applyBorder="1" applyAlignment="1">
      <alignment horizontal="center" vertical="center"/>
    </xf>
    <xf numFmtId="0" fontId="62" fillId="2" borderId="293" xfId="0" applyFont="1" applyFill="1" applyBorder="1"/>
    <xf numFmtId="0" fontId="162" fillId="2" borderId="289" xfId="0" applyFont="1" applyFill="1" applyBorder="1"/>
    <xf numFmtId="0" fontId="162" fillId="2" borderId="289" xfId="0" applyFont="1" applyFill="1" applyBorder="1" applyAlignment="1"/>
    <xf numFmtId="0" fontId="154" fillId="2" borderId="284" xfId="0" applyFont="1" applyFill="1" applyBorder="1" applyAlignment="1"/>
    <xf numFmtId="3" fontId="58" fillId="2" borderId="288" xfId="0" applyNumberFormat="1" applyFont="1" applyFill="1" applyBorder="1" applyAlignment="1">
      <alignment horizontal="center" vertical="center"/>
    </xf>
    <xf numFmtId="3" fontId="58" fillId="2" borderId="289" xfId="0" applyNumberFormat="1" applyFont="1" applyFill="1" applyBorder="1" applyAlignment="1">
      <alignment horizontal="center" vertical="center"/>
    </xf>
    <xf numFmtId="3" fontId="58" fillId="2" borderId="290" xfId="0" applyNumberFormat="1" applyFont="1" applyFill="1" applyBorder="1" applyAlignment="1">
      <alignment horizontal="center" vertical="center"/>
    </xf>
    <xf numFmtId="3" fontId="58" fillId="2" borderId="286" xfId="0" applyNumberFormat="1" applyFont="1" applyFill="1" applyBorder="1" applyAlignment="1">
      <alignment horizontal="center" vertical="center"/>
    </xf>
    <xf numFmtId="3" fontId="58" fillId="2" borderId="294" xfId="0" applyNumberFormat="1" applyFont="1" applyFill="1" applyBorder="1" applyAlignment="1">
      <alignment horizontal="center" vertical="center"/>
    </xf>
    <xf numFmtId="3" fontId="62" fillId="2" borderId="280" xfId="0" applyNumberFormat="1" applyFont="1" applyFill="1" applyBorder="1"/>
    <xf numFmtId="3" fontId="62" fillId="2" borderId="289" xfId="0" applyNumberFormat="1" applyFont="1" applyFill="1" applyBorder="1"/>
    <xf numFmtId="3" fontId="62" fillId="2" borderId="290" xfId="0" applyNumberFormat="1" applyFont="1" applyFill="1" applyBorder="1"/>
    <xf numFmtId="3" fontId="58" fillId="2" borderId="281" xfId="0" applyNumberFormat="1" applyFont="1" applyFill="1" applyBorder="1" applyAlignment="1">
      <alignment horizontal="center" vertical="center"/>
    </xf>
    <xf numFmtId="3" fontId="58" fillId="2" borderId="298" xfId="0" applyNumberFormat="1" applyFont="1" applyFill="1" applyBorder="1" applyAlignment="1">
      <alignment horizontal="center" vertical="center"/>
    </xf>
    <xf numFmtId="3" fontId="62" fillId="0" borderId="295" xfId="0" applyNumberFormat="1" applyFont="1" applyBorder="1"/>
    <xf numFmtId="3" fontId="62" fillId="0" borderId="281" xfId="0" applyNumberFormat="1" applyFont="1" applyBorder="1"/>
    <xf numFmtId="3" fontId="62" fillId="0" borderId="296" xfId="0" applyNumberFormat="1" applyFont="1" applyBorder="1"/>
    <xf numFmtId="0" fontId="62" fillId="2" borderId="299" xfId="0" applyFont="1" applyFill="1" applyBorder="1"/>
    <xf numFmtId="3" fontId="59" fillId="0" borderId="263" xfId="0" applyNumberFormat="1" applyFont="1" applyBorder="1" applyAlignment="1">
      <alignment horizontal="center" vertical="center"/>
    </xf>
    <xf numFmtId="3" fontId="47" fillId="0" borderId="263" xfId="2" applyNumberFormat="1" applyFont="1" applyBorder="1" applyAlignment="1">
      <alignment horizontal="center" vertical="center" wrapText="1"/>
    </xf>
    <xf numFmtId="3" fontId="60" fillId="0" borderId="263" xfId="0" applyNumberFormat="1" applyFont="1" applyBorder="1" applyAlignment="1">
      <alignment horizontal="center" vertical="center"/>
    </xf>
    <xf numFmtId="3" fontId="60" fillId="0" borderId="285" xfId="0" applyNumberFormat="1" applyFont="1" applyBorder="1" applyAlignment="1">
      <alignment horizontal="center" vertical="center"/>
    </xf>
    <xf numFmtId="3" fontId="59" fillId="3" borderId="285" xfId="0" applyNumberFormat="1" applyFont="1" applyFill="1" applyBorder="1" applyAlignment="1">
      <alignment horizontal="center" vertical="center"/>
    </xf>
    <xf numFmtId="3" fontId="58" fillId="2" borderId="285" xfId="0" applyNumberFormat="1" applyFont="1" applyFill="1" applyBorder="1" applyAlignment="1">
      <alignment horizontal="center" vertical="center"/>
    </xf>
    <xf numFmtId="3" fontId="62" fillId="2" borderId="292" xfId="0" applyNumberFormat="1" applyFont="1" applyFill="1" applyBorder="1"/>
    <xf numFmtId="3" fontId="46" fillId="5" borderId="291" xfId="2" applyNumberFormat="1" applyFont="1" applyFill="1" applyBorder="1" applyAlignment="1">
      <alignment horizontal="center" vertical="center" wrapText="1"/>
    </xf>
    <xf numFmtId="3" fontId="46" fillId="9" borderId="291" xfId="2" applyNumberFormat="1" applyFont="1" applyFill="1" applyBorder="1" applyAlignment="1">
      <alignment horizontal="center" vertical="center" wrapText="1"/>
    </xf>
    <xf numFmtId="0" fontId="62" fillId="2" borderId="291" xfId="0" applyFont="1" applyFill="1" applyBorder="1"/>
    <xf numFmtId="0" fontId="62" fillId="2" borderId="297" xfId="0" applyFont="1" applyFill="1" applyBorder="1"/>
    <xf numFmtId="49" fontId="59" fillId="3" borderId="272" xfId="2" applyNumberFormat="1" applyFont="1" applyFill="1" applyBorder="1" applyAlignment="1">
      <alignment horizontal="center" vertical="center" wrapText="1"/>
    </xf>
    <xf numFmtId="3" fontId="24" fillId="3" borderId="287" xfId="0" applyNumberFormat="1" applyFont="1" applyFill="1" applyBorder="1" applyAlignment="1">
      <alignment horizontal="center" vertical="center"/>
    </xf>
    <xf numFmtId="3" fontId="13" fillId="0" borderId="287" xfId="0" applyNumberFormat="1" applyFont="1" applyBorder="1" applyAlignment="1">
      <alignment horizontal="center" vertical="center"/>
    </xf>
    <xf numFmtId="3" fontId="10" fillId="0" borderId="287" xfId="0" applyNumberFormat="1" applyFont="1" applyBorder="1" applyAlignment="1">
      <alignment horizontal="center" vertical="center"/>
    </xf>
    <xf numFmtId="3" fontId="13" fillId="3" borderId="287" xfId="2" applyNumberFormat="1" applyFont="1" applyFill="1" applyBorder="1" applyAlignment="1">
      <alignment horizontal="center" vertical="center"/>
    </xf>
    <xf numFmtId="3" fontId="13" fillId="0" borderId="287" xfId="2" applyNumberFormat="1" applyFont="1" applyBorder="1" applyAlignment="1">
      <alignment horizontal="center" vertical="center"/>
    </xf>
    <xf numFmtId="3" fontId="13" fillId="0" borderId="287" xfId="5" applyNumberFormat="1" applyFont="1" applyBorder="1" applyAlignment="1">
      <alignment horizontal="center" vertical="center"/>
    </xf>
    <xf numFmtId="3" fontId="13" fillId="0" borderId="287" xfId="6" applyNumberFormat="1" applyFont="1" applyBorder="1" applyAlignment="1">
      <alignment horizontal="center" vertical="center"/>
    </xf>
    <xf numFmtId="3" fontId="12" fillId="3" borderId="287" xfId="0" applyNumberFormat="1" applyFont="1" applyFill="1" applyBorder="1" applyAlignment="1">
      <alignment horizontal="center" vertical="center"/>
    </xf>
    <xf numFmtId="3" fontId="13" fillId="8" borderId="287" xfId="2" applyNumberFormat="1" applyFont="1" applyFill="1" applyBorder="1" applyAlignment="1">
      <alignment horizontal="center" vertical="center" wrapText="1"/>
    </xf>
    <xf numFmtId="3" fontId="13" fillId="8" borderId="287" xfId="2" applyNumberFormat="1" applyFont="1" applyFill="1" applyBorder="1" applyAlignment="1">
      <alignment horizontal="center" vertical="center"/>
    </xf>
    <xf numFmtId="3" fontId="12" fillId="8" borderId="287" xfId="2" applyNumberFormat="1" applyFont="1" applyFill="1" applyBorder="1" applyAlignment="1">
      <alignment horizontal="center" vertical="center" wrapText="1"/>
    </xf>
    <xf numFmtId="0" fontId="59" fillId="8" borderId="287" xfId="2" applyFont="1" applyFill="1" applyBorder="1" applyAlignment="1">
      <alignment vertical="center" wrapText="1"/>
    </xf>
    <xf numFmtId="49" fontId="54" fillId="8" borderId="272" xfId="2" applyNumberFormat="1" applyFont="1" applyFill="1" applyBorder="1" applyAlignment="1">
      <alignment horizontal="center" vertical="center" wrapText="1"/>
    </xf>
    <xf numFmtId="49" fontId="54" fillId="8" borderId="266" xfId="2" applyNumberFormat="1" applyFont="1" applyFill="1" applyBorder="1" applyAlignment="1" applyProtection="1">
      <alignment horizontal="center" vertical="center" wrapText="1"/>
      <protection locked="0"/>
    </xf>
    <xf numFmtId="3" fontId="37" fillId="3" borderId="273" xfId="0" applyNumberFormat="1" applyFont="1" applyFill="1" applyBorder="1" applyAlignment="1">
      <alignment horizontal="center" vertical="center"/>
    </xf>
    <xf numFmtId="3" fontId="10" fillId="12" borderId="266" xfId="0" applyNumberFormat="1" applyFont="1" applyFill="1" applyBorder="1" applyAlignment="1">
      <alignment horizontal="center" vertical="center"/>
    </xf>
    <xf numFmtId="3" fontId="56" fillId="6" borderId="287" xfId="0" applyNumberFormat="1" applyFont="1" applyFill="1" applyBorder="1" applyAlignment="1" applyProtection="1">
      <alignment horizontal="center" vertical="center" wrapText="1"/>
      <protection locked="0"/>
    </xf>
    <xf numFmtId="3" fontId="68" fillId="5" borderId="287" xfId="2" applyNumberFormat="1" applyFont="1" applyFill="1" applyBorder="1" applyAlignment="1">
      <alignment horizontal="center" vertical="center" wrapText="1"/>
    </xf>
    <xf numFmtId="3" fontId="56" fillId="3" borderId="287" xfId="0" applyNumberFormat="1" applyFont="1" applyFill="1" applyBorder="1" applyAlignment="1">
      <alignment horizontal="center" vertical="center"/>
    </xf>
    <xf numFmtId="3" fontId="68" fillId="3" borderId="287" xfId="0" applyNumberFormat="1" applyFont="1" applyFill="1" applyBorder="1" applyAlignment="1">
      <alignment horizontal="center" vertical="center"/>
    </xf>
    <xf numFmtId="0" fontId="157" fillId="2" borderId="304" xfId="0" applyFont="1" applyFill="1" applyBorder="1" applyAlignment="1">
      <alignment horizontal="center" vertical="center"/>
    </xf>
    <xf numFmtId="0" fontId="157" fillId="2" borderId="262" xfId="0" applyFont="1" applyFill="1" applyBorder="1" applyAlignment="1">
      <alignment horizontal="center" vertical="center"/>
    </xf>
    <xf numFmtId="3" fontId="158" fillId="2" borderId="305" xfId="0" applyNumberFormat="1" applyFont="1" applyFill="1" applyBorder="1" applyAlignment="1">
      <alignment horizontal="left" vertical="center" wrapText="1"/>
    </xf>
    <xf numFmtId="3" fontId="158" fillId="2" borderId="253" xfId="0" applyNumberFormat="1" applyFont="1" applyFill="1" applyBorder="1" applyAlignment="1">
      <alignment horizontal="center" vertical="center" wrapText="1"/>
    </xf>
    <xf numFmtId="3" fontId="158" fillId="2" borderId="255" xfId="0" applyNumberFormat="1" applyFont="1" applyFill="1" applyBorder="1" applyAlignment="1">
      <alignment horizontal="center" vertical="center" wrapText="1"/>
    </xf>
    <xf numFmtId="3" fontId="158" fillId="2" borderId="262" xfId="0" applyNumberFormat="1" applyFont="1" applyFill="1" applyBorder="1" applyAlignment="1">
      <alignment horizontal="center" vertical="center"/>
    </xf>
    <xf numFmtId="3" fontId="158" fillId="2" borderId="259" xfId="0" applyNumberFormat="1" applyFont="1" applyFill="1" applyBorder="1" applyAlignment="1">
      <alignment horizontal="center" vertical="center"/>
    </xf>
    <xf numFmtId="1" fontId="157" fillId="14" borderId="0" xfId="0" applyNumberFormat="1" applyFont="1" applyFill="1" applyBorder="1" applyAlignment="1">
      <alignment horizontal="center" vertical="center"/>
    </xf>
    <xf numFmtId="3" fontId="157" fillId="3" borderId="303" xfId="0" applyNumberFormat="1" applyFont="1" applyFill="1" applyBorder="1" applyAlignment="1">
      <alignment horizontal="left" vertical="center" wrapText="1"/>
    </xf>
    <xf numFmtId="4" fontId="164" fillId="0" borderId="0" xfId="0" applyNumberFormat="1" applyFont="1"/>
    <xf numFmtId="3" fontId="158" fillId="3" borderId="287" xfId="0" applyNumberFormat="1" applyFont="1" applyFill="1" applyBorder="1" applyAlignment="1">
      <alignment horizontal="center" vertical="center" wrapText="1"/>
    </xf>
    <xf numFmtId="3" fontId="158" fillId="3" borderId="267" xfId="0" applyNumberFormat="1" applyFont="1" applyFill="1" applyBorder="1" applyAlignment="1">
      <alignment horizontal="center" vertical="center" wrapText="1"/>
    </xf>
    <xf numFmtId="3" fontId="158" fillId="3" borderId="275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57" fillId="3" borderId="136" xfId="0" applyFont="1" applyFill="1" applyBorder="1" applyAlignment="1">
      <alignment horizontal="center" vertical="center"/>
    </xf>
    <xf numFmtId="49" fontId="47" fillId="3" borderId="266" xfId="2" applyNumberFormat="1" applyFont="1" applyFill="1" applyBorder="1" applyAlignment="1" applyProtection="1">
      <alignment horizontal="center" vertical="center" wrapText="1"/>
      <protection locked="0"/>
    </xf>
    <xf numFmtId="49" fontId="47" fillId="8" borderId="266" xfId="2" applyNumberFormat="1" applyFont="1" applyFill="1" applyBorder="1" applyAlignment="1" applyProtection="1">
      <alignment horizontal="center" vertical="center" wrapText="1"/>
      <protection locked="0"/>
    </xf>
    <xf numFmtId="3" fontId="47" fillId="9" borderId="291" xfId="2" applyNumberFormat="1" applyFont="1" applyFill="1" applyBorder="1" applyAlignment="1">
      <alignment horizontal="center" vertical="center" wrapText="1"/>
    </xf>
    <xf numFmtId="3" fontId="157" fillId="3" borderId="63" xfId="0" applyNumberFormat="1" applyFont="1" applyFill="1" applyBorder="1" applyAlignment="1">
      <alignment horizontal="center" vertical="center" wrapText="1"/>
    </xf>
    <xf numFmtId="3" fontId="157" fillId="3" borderId="62" xfId="0" applyNumberFormat="1" applyFont="1" applyFill="1" applyBorder="1" applyAlignment="1">
      <alignment horizontal="center" vertical="center"/>
    </xf>
    <xf numFmtId="0" fontId="157" fillId="3" borderId="306" xfId="0" applyFont="1" applyFill="1" applyBorder="1" applyAlignment="1">
      <alignment horizontal="center" vertical="center"/>
    </xf>
    <xf numFmtId="0" fontId="157" fillId="3" borderId="263" xfId="0" applyFont="1" applyFill="1" applyBorder="1" applyAlignment="1">
      <alignment horizontal="center" vertical="center"/>
    </xf>
    <xf numFmtId="3" fontId="157" fillId="3" borderId="275" xfId="0" applyNumberFormat="1" applyFont="1" applyFill="1" applyBorder="1" applyAlignment="1">
      <alignment horizontal="left" vertical="center" wrapText="1"/>
    </xf>
    <xf numFmtId="3" fontId="165" fillId="3" borderId="267" xfId="0" applyNumberFormat="1" applyFont="1" applyFill="1" applyBorder="1" applyAlignment="1">
      <alignment horizontal="center" vertical="center" wrapText="1"/>
    </xf>
    <xf numFmtId="3" fontId="165" fillId="3" borderId="48" xfId="0" applyNumberFormat="1" applyFont="1" applyFill="1" applyBorder="1" applyAlignment="1">
      <alignment horizontal="center" vertical="center"/>
    </xf>
    <xf numFmtId="0" fontId="166" fillId="0" borderId="0" xfId="0" applyFont="1"/>
    <xf numFmtId="0" fontId="167" fillId="0" borderId="0" xfId="0" applyFont="1" applyAlignment="1">
      <alignment horizontal="left" vertical="center"/>
    </xf>
    <xf numFmtId="0" fontId="166" fillId="0" borderId="0" xfId="0" applyFont="1" applyAlignment="1">
      <alignment horizontal="center" vertical="center"/>
    </xf>
    <xf numFmtId="0" fontId="168" fillId="0" borderId="71" xfId="0" applyFont="1" applyBorder="1"/>
    <xf numFmtId="0" fontId="168" fillId="0" borderId="0" xfId="0" applyFont="1" applyBorder="1"/>
    <xf numFmtId="0" fontId="169" fillId="2" borderId="57" xfId="0" applyFont="1" applyFill="1" applyBorder="1" applyAlignment="1">
      <alignment horizontal="center" vertical="center" wrapText="1"/>
    </xf>
    <xf numFmtId="0" fontId="167" fillId="2" borderId="11" xfId="0" applyFont="1" applyFill="1" applyBorder="1" applyAlignment="1">
      <alignment horizontal="left" vertical="center" wrapText="1"/>
    </xf>
    <xf numFmtId="3" fontId="170" fillId="2" borderId="45" xfId="0" applyNumberFormat="1" applyFont="1" applyFill="1" applyBorder="1" applyAlignment="1">
      <alignment horizontal="center" vertical="center" wrapText="1"/>
    </xf>
    <xf numFmtId="3" fontId="170" fillId="2" borderId="44" xfId="0" applyNumberFormat="1" applyFont="1" applyFill="1" applyBorder="1" applyAlignment="1">
      <alignment horizontal="center" vertical="center" wrapText="1"/>
    </xf>
    <xf numFmtId="3" fontId="170" fillId="2" borderId="10" xfId="0" applyNumberFormat="1" applyFont="1" applyFill="1" applyBorder="1" applyAlignment="1">
      <alignment horizontal="center" vertical="center" wrapText="1"/>
    </xf>
    <xf numFmtId="3" fontId="170" fillId="2" borderId="5" xfId="0" applyNumberFormat="1" applyFont="1" applyFill="1" applyBorder="1" applyAlignment="1">
      <alignment horizontal="center" vertical="center" wrapText="1"/>
    </xf>
    <xf numFmtId="0" fontId="170" fillId="2" borderId="306" xfId="0" applyFont="1" applyFill="1" applyBorder="1" applyAlignment="1">
      <alignment horizontal="center" vertical="center"/>
    </xf>
    <xf numFmtId="0" fontId="169" fillId="2" borderId="275" xfId="0" applyFont="1" applyFill="1" applyBorder="1" applyAlignment="1">
      <alignment horizontal="center" vertical="center" wrapText="1"/>
    </xf>
    <xf numFmtId="3" fontId="170" fillId="2" borderId="275" xfId="0" applyNumberFormat="1" applyFont="1" applyFill="1" applyBorder="1" applyAlignment="1">
      <alignment horizontal="center" vertical="center" wrapText="1"/>
    </xf>
    <xf numFmtId="3" fontId="171" fillId="2" borderId="287" xfId="0" applyNumberFormat="1" applyFont="1" applyFill="1" applyBorder="1" applyAlignment="1">
      <alignment horizontal="center" vertical="center" wrapText="1"/>
    </xf>
    <xf numFmtId="3" fontId="171" fillId="2" borderId="267" xfId="0" applyNumberFormat="1" applyFont="1" applyFill="1" applyBorder="1" applyAlignment="1">
      <alignment horizontal="center" vertical="center" wrapText="1"/>
    </xf>
    <xf numFmtId="3" fontId="171" fillId="2" borderId="263" xfId="0" applyNumberFormat="1" applyFont="1" applyFill="1" applyBorder="1" applyAlignment="1">
      <alignment horizontal="center" vertical="center" wrapText="1"/>
    </xf>
    <xf numFmtId="3" fontId="171" fillId="2" borderId="273" xfId="0" applyNumberFormat="1" applyFont="1" applyFill="1" applyBorder="1" applyAlignment="1">
      <alignment horizontal="center" vertical="center" wrapText="1"/>
    </xf>
    <xf numFmtId="0" fontId="170" fillId="2" borderId="275" xfId="0" applyFont="1" applyFill="1" applyBorder="1" applyAlignment="1">
      <alignment horizontal="center" vertical="center" wrapText="1"/>
    </xf>
    <xf numFmtId="3" fontId="170" fillId="2" borderId="287" xfId="0" applyNumberFormat="1" applyFont="1" applyFill="1" applyBorder="1" applyAlignment="1">
      <alignment horizontal="center" vertical="center" wrapText="1"/>
    </xf>
    <xf numFmtId="3" fontId="170" fillId="2" borderId="267" xfId="0" applyNumberFormat="1" applyFont="1" applyFill="1" applyBorder="1" applyAlignment="1">
      <alignment horizontal="center" vertical="center" wrapText="1"/>
    </xf>
    <xf numFmtId="3" fontId="170" fillId="2" borderId="263" xfId="0" applyNumberFormat="1" applyFont="1" applyFill="1" applyBorder="1" applyAlignment="1">
      <alignment horizontal="center" vertical="center"/>
    </xf>
    <xf numFmtId="3" fontId="170" fillId="2" borderId="273" xfId="0" applyNumberFormat="1" applyFont="1" applyFill="1" applyBorder="1" applyAlignment="1">
      <alignment horizontal="center" vertical="center"/>
    </xf>
    <xf numFmtId="0" fontId="169" fillId="2" borderId="306" xfId="0" applyFont="1" applyFill="1" applyBorder="1" applyAlignment="1">
      <alignment horizontal="center" vertical="center"/>
    </xf>
    <xf numFmtId="0" fontId="167" fillId="2" borderId="275" xfId="0" applyFont="1" applyFill="1" applyBorder="1" applyAlignment="1">
      <alignment horizontal="center" vertical="center" wrapText="1"/>
    </xf>
    <xf numFmtId="0" fontId="170" fillId="3" borderId="191" xfId="0" applyFont="1" applyFill="1" applyBorder="1" applyAlignment="1">
      <alignment horizontal="center" vertical="center"/>
    </xf>
    <xf numFmtId="0" fontId="170" fillId="3" borderId="275" xfId="0" applyFont="1" applyFill="1" applyBorder="1" applyAlignment="1">
      <alignment horizontal="center" vertical="center" wrapText="1"/>
    </xf>
    <xf numFmtId="3" fontId="170" fillId="3" borderId="275" xfId="0" applyNumberFormat="1" applyFont="1" applyFill="1" applyBorder="1" applyAlignment="1">
      <alignment horizontal="center" vertical="center" wrapText="1"/>
    </xf>
    <xf numFmtId="3" fontId="170" fillId="3" borderId="287" xfId="0" applyNumberFormat="1" applyFont="1" applyFill="1" applyBorder="1" applyAlignment="1">
      <alignment horizontal="center" vertical="center"/>
    </xf>
    <xf numFmtId="3" fontId="170" fillId="3" borderId="267" xfId="0" applyNumberFormat="1" applyFont="1" applyFill="1" applyBorder="1" applyAlignment="1">
      <alignment horizontal="center" vertical="center"/>
    </xf>
    <xf numFmtId="3" fontId="170" fillId="3" borderId="263" xfId="0" applyNumberFormat="1" applyFont="1" applyFill="1" applyBorder="1" applyAlignment="1">
      <alignment horizontal="center" vertical="center"/>
    </xf>
    <xf numFmtId="3" fontId="170" fillId="3" borderId="273" xfId="0" applyNumberFormat="1" applyFont="1" applyFill="1" applyBorder="1" applyAlignment="1">
      <alignment horizontal="center" vertical="center"/>
    </xf>
    <xf numFmtId="0" fontId="169" fillId="3" borderId="191" xfId="0" applyFont="1" applyFill="1" applyBorder="1" applyAlignment="1">
      <alignment horizontal="center" vertical="center"/>
    </xf>
    <xf numFmtId="0" fontId="169" fillId="3" borderId="275" xfId="0" applyFont="1" applyFill="1" applyBorder="1" applyAlignment="1">
      <alignment horizontal="left" vertical="center" wrapText="1"/>
    </xf>
    <xf numFmtId="3" fontId="169" fillId="3" borderId="275" xfId="0" applyNumberFormat="1" applyFont="1" applyFill="1" applyBorder="1" applyAlignment="1">
      <alignment horizontal="center" vertical="center" wrapText="1"/>
    </xf>
    <xf numFmtId="3" fontId="169" fillId="3" borderId="287" xfId="0" applyNumberFormat="1" applyFont="1" applyFill="1" applyBorder="1" applyAlignment="1">
      <alignment horizontal="center" vertical="center"/>
    </xf>
    <xf numFmtId="3" fontId="169" fillId="3" borderId="267" xfId="0" applyNumberFormat="1" applyFont="1" applyFill="1" applyBorder="1" applyAlignment="1">
      <alignment horizontal="center" vertical="center"/>
    </xf>
    <xf numFmtId="3" fontId="169" fillId="3" borderId="263" xfId="0" applyNumberFormat="1" applyFont="1" applyFill="1" applyBorder="1" applyAlignment="1">
      <alignment horizontal="center" vertical="center"/>
    </xf>
    <xf numFmtId="3" fontId="169" fillId="3" borderId="273" xfId="0" applyNumberFormat="1" applyFont="1" applyFill="1" applyBorder="1" applyAlignment="1">
      <alignment horizontal="center" vertical="center"/>
    </xf>
    <xf numFmtId="0" fontId="167" fillId="0" borderId="275" xfId="0" applyFont="1" applyBorder="1" applyAlignment="1">
      <alignment horizontal="center" vertical="center"/>
    </xf>
    <xf numFmtId="0" fontId="166" fillId="0" borderId="275" xfId="0" applyFont="1" applyBorder="1" applyAlignment="1">
      <alignment wrapText="1"/>
    </xf>
    <xf numFmtId="0" fontId="169" fillId="3" borderId="275" xfId="0" applyFont="1" applyFill="1" applyBorder="1" applyAlignment="1">
      <alignment wrapText="1"/>
    </xf>
    <xf numFmtId="0" fontId="166" fillId="0" borderId="308" xfId="0" applyFont="1" applyBorder="1"/>
    <xf numFmtId="0" fontId="169" fillId="3" borderId="294" xfId="0" applyFont="1" applyFill="1" applyBorder="1" applyAlignment="1">
      <alignment horizontal="left" vertical="center" wrapText="1"/>
    </xf>
    <xf numFmtId="3" fontId="169" fillId="3" borderId="294" xfId="0" applyNumberFormat="1" applyFont="1" applyFill="1" applyBorder="1" applyAlignment="1">
      <alignment horizontal="center" vertical="center" wrapText="1"/>
    </xf>
    <xf numFmtId="0" fontId="166" fillId="0" borderId="288" xfId="0" applyFont="1" applyBorder="1"/>
    <xf numFmtId="3" fontId="169" fillId="3" borderId="290" xfId="0" applyNumberFormat="1" applyFont="1" applyFill="1" applyBorder="1" applyAlignment="1">
      <alignment horizontal="center" vertical="center" wrapText="1"/>
    </xf>
    <xf numFmtId="3" fontId="169" fillId="3" borderId="286" xfId="0" applyNumberFormat="1" applyFont="1" applyFill="1" applyBorder="1" applyAlignment="1">
      <alignment horizontal="center" vertical="center"/>
    </xf>
    <xf numFmtId="3" fontId="169" fillId="3" borderId="301" xfId="0" applyNumberFormat="1" applyFont="1" applyFill="1" applyBorder="1" applyAlignment="1">
      <alignment horizontal="center" vertical="center"/>
    </xf>
    <xf numFmtId="0" fontId="166" fillId="0" borderId="70" xfId="0" applyFont="1" applyBorder="1"/>
    <xf numFmtId="0" fontId="168" fillId="0" borderId="70" xfId="0" applyFont="1" applyBorder="1"/>
    <xf numFmtId="0" fontId="166" fillId="0" borderId="0" xfId="0" applyFont="1" applyBorder="1"/>
    <xf numFmtId="0" fontId="0" fillId="2" borderId="233" xfId="0" applyFill="1" applyBorder="1"/>
    <xf numFmtId="3" fontId="12" fillId="3" borderId="287" xfId="5" applyNumberFormat="1" applyFont="1" applyFill="1" applyBorder="1" applyAlignment="1">
      <alignment horizontal="center" vertical="center"/>
    </xf>
    <xf numFmtId="3" fontId="12" fillId="3" borderId="222" xfId="0" applyNumberFormat="1" applyFont="1" applyFill="1" applyBorder="1" applyAlignment="1">
      <alignment horizontal="center" vertical="center"/>
    </xf>
    <xf numFmtId="3" fontId="12" fillId="3" borderId="230" xfId="0" applyNumberFormat="1" applyFont="1" applyFill="1" applyBorder="1" applyAlignment="1">
      <alignment horizontal="center" vertical="center"/>
    </xf>
    <xf numFmtId="3" fontId="12" fillId="3" borderId="171" xfId="0" applyNumberFormat="1" applyFont="1" applyFill="1" applyBorder="1" applyAlignment="1">
      <alignment horizontal="center" vertical="center"/>
    </xf>
    <xf numFmtId="3" fontId="12" fillId="3" borderId="287" xfId="6" applyNumberFormat="1" applyFont="1" applyFill="1" applyBorder="1" applyAlignment="1">
      <alignment horizontal="center" vertical="center"/>
    </xf>
    <xf numFmtId="3" fontId="12" fillId="3" borderId="227" xfId="0" applyNumberFormat="1" applyFont="1" applyFill="1" applyBorder="1" applyAlignment="1">
      <alignment horizontal="center" vertical="center"/>
    </xf>
    <xf numFmtId="3" fontId="12" fillId="3" borderId="285" xfId="0" applyNumberFormat="1" applyFont="1" applyFill="1" applyBorder="1" applyAlignment="1">
      <alignment horizontal="center" vertical="center"/>
    </xf>
    <xf numFmtId="0" fontId="13" fillId="3" borderId="227" xfId="2" applyFont="1" applyFill="1" applyBorder="1" applyAlignment="1">
      <alignment horizontal="left" vertical="center" wrapText="1"/>
    </xf>
    <xf numFmtId="0" fontId="0" fillId="2" borderId="292" xfId="0" applyFill="1" applyBorder="1"/>
    <xf numFmtId="0" fontId="0" fillId="2" borderId="287" xfId="0" applyFill="1" applyBorder="1"/>
    <xf numFmtId="0" fontId="0" fillId="2" borderId="222" xfId="0" applyFill="1" applyBorder="1"/>
    <xf numFmtId="0" fontId="0" fillId="2" borderId="227" xfId="0" applyFill="1" applyBorder="1"/>
    <xf numFmtId="0" fontId="0" fillId="2" borderId="285" xfId="0" applyFill="1" applyBorder="1"/>
    <xf numFmtId="0" fontId="4" fillId="2" borderId="291" xfId="0" applyFont="1" applyFill="1" applyBorder="1"/>
    <xf numFmtId="3" fontId="0" fillId="2" borderId="287" xfId="0" applyNumberFormat="1" applyFill="1" applyBorder="1"/>
    <xf numFmtId="3" fontId="0" fillId="2" borderId="222" xfId="0" applyNumberFormat="1" applyFill="1" applyBorder="1"/>
    <xf numFmtId="3" fontId="0" fillId="2" borderId="227" xfId="0" applyNumberFormat="1" applyFill="1" applyBorder="1"/>
    <xf numFmtId="3" fontId="0" fillId="2" borderId="285" xfId="0" applyNumberFormat="1" applyFill="1" applyBorder="1"/>
    <xf numFmtId="0" fontId="0" fillId="2" borderId="288" xfId="0" applyFill="1" applyBorder="1"/>
    <xf numFmtId="0" fontId="0" fillId="2" borderId="289" xfId="0" applyFill="1" applyBorder="1"/>
    <xf numFmtId="0" fontId="0" fillId="2" borderId="284" xfId="0" applyFill="1" applyBorder="1"/>
    <xf numFmtId="0" fontId="0" fillId="3" borderId="275" xfId="0" applyFill="1" applyBorder="1"/>
    <xf numFmtId="0" fontId="0" fillId="2" borderId="275" xfId="0" applyFill="1" applyBorder="1"/>
    <xf numFmtId="0" fontId="0" fillId="2" borderId="294" xfId="0" applyFill="1" applyBorder="1"/>
    <xf numFmtId="3" fontId="24" fillId="5" borderId="0" xfId="2" applyNumberFormat="1" applyFont="1" applyFill="1" applyBorder="1" applyAlignment="1">
      <alignment horizontal="center" vertical="center" wrapText="1"/>
    </xf>
    <xf numFmtId="1" fontId="25" fillId="2" borderId="0" xfId="0" applyNumberFormat="1" applyFont="1" applyFill="1" applyBorder="1" applyAlignment="1">
      <alignment horizontal="center" vertical="center"/>
    </xf>
    <xf numFmtId="1" fontId="25" fillId="3" borderId="0" xfId="0" applyNumberFormat="1" applyFont="1" applyFill="1" applyBorder="1" applyAlignment="1">
      <alignment horizontal="center" vertical="center"/>
    </xf>
    <xf numFmtId="1" fontId="23" fillId="3" borderId="0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Border="1" applyAlignment="1">
      <alignment horizontal="center" vertical="center"/>
    </xf>
    <xf numFmtId="0" fontId="19" fillId="3" borderId="263" xfId="0" applyFont="1" applyFill="1" applyBorder="1" applyAlignment="1">
      <alignment horizontal="center" vertical="center"/>
    </xf>
    <xf numFmtId="3" fontId="19" fillId="2" borderId="286" xfId="0" applyNumberFormat="1" applyFont="1" applyFill="1" applyBorder="1" applyAlignment="1">
      <alignment horizontal="center" vertical="center"/>
    </xf>
    <xf numFmtId="0" fontId="149" fillId="0" borderId="0" xfId="0" applyFont="1" applyAlignment="1">
      <alignment horizontal="center"/>
    </xf>
    <xf numFmtId="3" fontId="98" fillId="3" borderId="0" xfId="0" applyNumberFormat="1" applyFont="1" applyFill="1" applyAlignment="1">
      <alignment horizontal="center" vertical="center"/>
    </xf>
    <xf numFmtId="3" fontId="149" fillId="2" borderId="0" xfId="0" applyNumberFormat="1" applyFont="1" applyFill="1" applyBorder="1" applyAlignment="1">
      <alignment horizontal="center" vertical="center" textRotation="255" wrapText="1"/>
    </xf>
    <xf numFmtId="3" fontId="98" fillId="5" borderId="0" xfId="2" applyNumberFormat="1" applyFont="1" applyFill="1" applyBorder="1" applyAlignment="1">
      <alignment horizontal="center" vertical="center" wrapText="1"/>
    </xf>
    <xf numFmtId="1" fontId="149" fillId="2" borderId="0" xfId="0" applyNumberFormat="1" applyFont="1" applyFill="1" applyBorder="1" applyAlignment="1">
      <alignment horizontal="center" vertical="center"/>
    </xf>
    <xf numFmtId="1" fontId="149" fillId="3" borderId="0" xfId="0" applyNumberFormat="1" applyFont="1" applyFill="1" applyBorder="1" applyAlignment="1">
      <alignment horizontal="center" vertical="center"/>
    </xf>
    <xf numFmtId="1" fontId="98" fillId="3" borderId="0" xfId="0" applyNumberFormat="1" applyFont="1" applyFill="1" applyBorder="1" applyAlignment="1">
      <alignment horizontal="center" vertical="center"/>
    </xf>
    <xf numFmtId="1" fontId="98" fillId="2" borderId="0" xfId="0" applyNumberFormat="1" applyFont="1" applyFill="1" applyBorder="1" applyAlignment="1">
      <alignment horizontal="center" vertical="center"/>
    </xf>
    <xf numFmtId="0" fontId="98" fillId="0" borderId="0" xfId="0" applyFont="1" applyAlignment="1">
      <alignment horizontal="center" vertical="center"/>
    </xf>
    <xf numFmtId="3" fontId="98" fillId="0" borderId="0" xfId="0" applyNumberFormat="1" applyFont="1" applyAlignment="1">
      <alignment horizontal="center" vertical="center"/>
    </xf>
    <xf numFmtId="3" fontId="149" fillId="6" borderId="263" xfId="0" applyNumberFormat="1" applyFont="1" applyFill="1" applyBorder="1" applyAlignment="1" applyProtection="1">
      <alignment horizontal="center" vertical="center" wrapText="1"/>
      <protection locked="0"/>
    </xf>
    <xf numFmtId="3" fontId="98" fillId="5" borderId="263" xfId="2" applyNumberFormat="1" applyFont="1" applyFill="1" applyBorder="1" applyAlignment="1">
      <alignment horizontal="center" vertical="center" wrapText="1"/>
    </xf>
    <xf numFmtId="3" fontId="149" fillId="5" borderId="263" xfId="2" applyNumberFormat="1" applyFont="1" applyFill="1" applyBorder="1" applyAlignment="1">
      <alignment horizontal="center" vertical="center" wrapText="1"/>
    </xf>
    <xf numFmtId="3" fontId="149" fillId="4" borderId="263" xfId="0" applyNumberFormat="1" applyFont="1" applyFill="1" applyBorder="1" applyAlignment="1">
      <alignment horizontal="center" vertical="center"/>
    </xf>
    <xf numFmtId="3" fontId="98" fillId="4" borderId="263" xfId="0" applyNumberFormat="1" applyFont="1" applyFill="1" applyBorder="1" applyAlignment="1">
      <alignment horizontal="center" vertical="center"/>
    </xf>
    <xf numFmtId="3" fontId="149" fillId="3" borderId="263" xfId="0" applyNumberFormat="1" applyFont="1" applyFill="1" applyBorder="1" applyAlignment="1">
      <alignment horizontal="center" vertical="center"/>
    </xf>
    <xf numFmtId="3" fontId="98" fillId="0" borderId="263" xfId="0" applyNumberFormat="1" applyFont="1" applyBorder="1" applyAlignment="1">
      <alignment horizontal="center" vertical="center"/>
    </xf>
    <xf numFmtId="3" fontId="98" fillId="9" borderId="263" xfId="2" applyNumberFormat="1" applyFont="1" applyFill="1" applyBorder="1" applyAlignment="1">
      <alignment horizontal="center" vertical="center" wrapText="1"/>
    </xf>
    <xf numFmtId="3" fontId="149" fillId="9" borderId="263" xfId="2" applyNumberFormat="1" applyFont="1" applyFill="1" applyBorder="1" applyAlignment="1">
      <alignment horizontal="center" vertical="center" wrapText="1"/>
    </xf>
    <xf numFmtId="3" fontId="149" fillId="2" borderId="263" xfId="0" applyNumberFormat="1" applyFont="1" applyFill="1" applyBorder="1" applyAlignment="1">
      <alignment horizontal="center" vertical="center"/>
    </xf>
    <xf numFmtId="3" fontId="98" fillId="3" borderId="263" xfId="0" applyNumberFormat="1" applyFont="1" applyFill="1" applyBorder="1" applyAlignment="1">
      <alignment horizontal="center" vertical="center"/>
    </xf>
    <xf numFmtId="3" fontId="149" fillId="3" borderId="263" xfId="0" applyNumberFormat="1" applyFont="1" applyFill="1" applyBorder="1" applyAlignment="1">
      <alignment horizontal="center" vertical="center" wrapText="1"/>
    </xf>
    <xf numFmtId="3" fontId="149" fillId="0" borderId="263" xfId="0" applyNumberFormat="1" applyFont="1" applyBorder="1" applyAlignment="1">
      <alignment horizontal="center" vertical="center"/>
    </xf>
    <xf numFmtId="3" fontId="98" fillId="3" borderId="263" xfId="0" applyNumberFormat="1" applyFont="1" applyFill="1" applyBorder="1" applyAlignment="1">
      <alignment horizontal="center" vertical="center" wrapText="1"/>
    </xf>
    <xf numFmtId="3" fontId="98" fillId="8" borderId="263" xfId="5" applyNumberFormat="1" applyFont="1" applyFill="1" applyBorder="1" applyAlignment="1">
      <alignment horizontal="center" vertical="center"/>
    </xf>
    <xf numFmtId="3" fontId="149" fillId="8" borderId="263" xfId="6" applyNumberFormat="1" applyFont="1" applyFill="1" applyBorder="1" applyAlignment="1">
      <alignment horizontal="center" vertical="center"/>
    </xf>
    <xf numFmtId="3" fontId="149" fillId="15" borderId="263" xfId="6" applyNumberFormat="1" applyFont="1" applyFill="1" applyBorder="1" applyAlignment="1">
      <alignment horizontal="center" vertical="center"/>
    </xf>
    <xf numFmtId="3" fontId="149" fillId="8" borderId="263" xfId="5" applyNumberFormat="1" applyFont="1" applyFill="1" applyBorder="1" applyAlignment="1">
      <alignment horizontal="center" vertical="center"/>
    </xf>
    <xf numFmtId="3" fontId="98" fillId="8" borderId="0" xfId="5" applyNumberFormat="1" applyFont="1" applyFill="1" applyBorder="1" applyAlignment="1">
      <alignment horizontal="center" vertical="center"/>
    </xf>
    <xf numFmtId="0" fontId="149" fillId="3" borderId="263" xfId="0" applyFont="1" applyFill="1" applyBorder="1" applyAlignment="1">
      <alignment horizontal="center" vertical="center"/>
    </xf>
    <xf numFmtId="3" fontId="149" fillId="2" borderId="286" xfId="0" applyNumberFormat="1" applyFont="1" applyFill="1" applyBorder="1" applyAlignment="1">
      <alignment horizontal="center" vertical="center"/>
    </xf>
    <xf numFmtId="3" fontId="19" fillId="20" borderId="266" xfId="0" applyNumberFormat="1" applyFont="1" applyFill="1" applyBorder="1" applyAlignment="1">
      <alignment horizontal="center" vertical="center"/>
    </xf>
    <xf numFmtId="3" fontId="19" fillId="20" borderId="267" xfId="0" applyNumberFormat="1" applyFont="1" applyFill="1" applyBorder="1" applyAlignment="1">
      <alignment horizontal="center" vertical="center"/>
    </xf>
    <xf numFmtId="0" fontId="149" fillId="20" borderId="0" xfId="9" applyFont="1" applyFill="1" applyBorder="1" applyAlignment="1">
      <alignment horizontal="center" vertical="center" wrapText="1"/>
    </xf>
    <xf numFmtId="3" fontId="149" fillId="0" borderId="0" xfId="0" applyNumberFormat="1" applyFont="1" applyBorder="1" applyAlignment="1">
      <alignment horizontal="center" vertical="center"/>
    </xf>
    <xf numFmtId="3" fontId="98" fillId="0" borderId="0" xfId="0" applyNumberFormat="1" applyFont="1" applyBorder="1" applyAlignment="1">
      <alignment horizontal="center" vertical="center"/>
    </xf>
    <xf numFmtId="3" fontId="98" fillId="3" borderId="0" xfId="0" applyNumberFormat="1" applyFont="1" applyFill="1" applyBorder="1" applyAlignment="1">
      <alignment horizontal="center" vertical="center"/>
    </xf>
    <xf numFmtId="3" fontId="86" fillId="0" borderId="0" xfId="0" applyNumberFormat="1" applyFont="1" applyBorder="1" applyAlignment="1">
      <alignment horizontal="center" vertical="center"/>
    </xf>
    <xf numFmtId="3" fontId="149" fillId="12" borderId="0" xfId="0" applyNumberFormat="1" applyFont="1" applyFill="1" applyBorder="1" applyAlignment="1">
      <alignment horizontal="center" vertical="center"/>
    </xf>
    <xf numFmtId="0" fontId="172" fillId="0" borderId="0" xfId="9" applyFont="1"/>
    <xf numFmtId="3" fontId="22" fillId="3" borderId="287" xfId="0" applyNumberFormat="1" applyFont="1" applyFill="1" applyBorder="1" applyAlignment="1">
      <alignment horizontal="center" vertical="center"/>
    </xf>
    <xf numFmtId="3" fontId="25" fillId="0" borderId="291" xfId="0" applyNumberFormat="1" applyFont="1" applyBorder="1" applyAlignment="1">
      <alignment horizontal="center" vertical="center"/>
    </xf>
    <xf numFmtId="3" fontId="25" fillId="2" borderId="0" xfId="0" applyNumberFormat="1" applyFont="1" applyFill="1" applyBorder="1" applyAlignment="1">
      <alignment horizontal="center" vertical="center" textRotation="255"/>
    </xf>
    <xf numFmtId="0" fontId="0" fillId="20" borderId="242" xfId="0" applyFill="1" applyBorder="1"/>
    <xf numFmtId="3" fontId="19" fillId="20" borderId="10" xfId="0" applyNumberFormat="1" applyFont="1" applyFill="1" applyBorder="1" applyAlignment="1">
      <alignment vertical="center" wrapText="1"/>
    </xf>
    <xf numFmtId="0" fontId="0" fillId="20" borderId="78" xfId="0" applyFill="1" applyBorder="1"/>
    <xf numFmtId="3" fontId="19" fillId="34" borderId="229" xfId="0" applyNumberFormat="1" applyFont="1" applyFill="1" applyBorder="1" applyAlignment="1" applyProtection="1">
      <alignment horizontal="center" vertical="center" wrapText="1"/>
      <protection locked="0"/>
    </xf>
    <xf numFmtId="3" fontId="19" fillId="34" borderId="222" xfId="0" applyNumberFormat="1" applyFont="1" applyFill="1" applyBorder="1" applyAlignment="1" applyProtection="1">
      <alignment horizontal="center" vertical="center" wrapText="1"/>
      <protection locked="0"/>
    </xf>
    <xf numFmtId="3" fontId="19" fillId="34" borderId="230" xfId="0" applyNumberFormat="1" applyFont="1" applyFill="1" applyBorder="1" applyAlignment="1" applyProtection="1">
      <alignment horizontal="center" vertical="center" wrapText="1"/>
      <protection locked="0"/>
    </xf>
    <xf numFmtId="3" fontId="19" fillId="20" borderId="234" xfId="0" applyNumberFormat="1" applyFont="1" applyFill="1" applyBorder="1" applyAlignment="1">
      <alignment horizontal="center" vertical="center"/>
    </xf>
    <xf numFmtId="3" fontId="19" fillId="34" borderId="250" xfId="0" applyNumberFormat="1" applyFont="1" applyFill="1" applyBorder="1" applyAlignment="1" applyProtection="1">
      <alignment horizontal="center" vertical="center" wrapText="1"/>
      <protection locked="0"/>
    </xf>
    <xf numFmtId="3" fontId="19" fillId="34" borderId="249" xfId="0" applyNumberFormat="1" applyFont="1" applyFill="1" applyBorder="1" applyAlignment="1" applyProtection="1">
      <alignment horizontal="center" vertical="center" wrapText="1"/>
      <protection locked="0"/>
    </xf>
    <xf numFmtId="49" fontId="24" fillId="20" borderId="240" xfId="2" applyNumberFormat="1" applyFont="1" applyFill="1" applyBorder="1" applyAlignment="1">
      <alignment horizontal="center" vertical="center" wrapText="1"/>
    </xf>
    <xf numFmtId="49" fontId="24" fillId="33" borderId="227" xfId="2" applyNumberFormat="1" applyFont="1" applyFill="1" applyBorder="1" applyAlignment="1">
      <alignment horizontal="center" vertical="center" wrapText="1"/>
    </xf>
    <xf numFmtId="0" fontId="24" fillId="33" borderId="244" xfId="2" applyFont="1" applyFill="1" applyBorder="1" applyAlignment="1">
      <alignment horizontal="left" vertical="center" wrapText="1"/>
    </xf>
    <xf numFmtId="3" fontId="24" fillId="33" borderId="229" xfId="2" applyNumberFormat="1" applyFont="1" applyFill="1" applyBorder="1" applyAlignment="1">
      <alignment horizontal="center" vertical="center" wrapText="1"/>
    </xf>
    <xf numFmtId="3" fontId="24" fillId="33" borderId="222" xfId="2" applyNumberFormat="1" applyFont="1" applyFill="1" applyBorder="1" applyAlignment="1">
      <alignment horizontal="center" vertical="center" wrapText="1"/>
    </xf>
    <xf numFmtId="3" fontId="24" fillId="33" borderId="230" xfId="2" applyNumberFormat="1" applyFont="1" applyFill="1" applyBorder="1" applyAlignment="1">
      <alignment horizontal="center" vertical="center" wrapText="1"/>
    </xf>
    <xf numFmtId="3" fontId="24" fillId="33" borderId="234" xfId="2" applyNumberFormat="1" applyFont="1" applyFill="1" applyBorder="1" applyAlignment="1">
      <alignment horizontal="center" vertical="center" wrapText="1"/>
    </xf>
    <xf numFmtId="3" fontId="24" fillId="33" borderId="250" xfId="2" applyNumberFormat="1" applyFont="1" applyFill="1" applyBorder="1" applyAlignment="1">
      <alignment horizontal="center" vertical="center" wrapText="1"/>
    </xf>
    <xf numFmtId="3" fontId="24" fillId="33" borderId="249" xfId="2" applyNumberFormat="1" applyFont="1" applyFill="1" applyBorder="1" applyAlignment="1">
      <alignment horizontal="center" vertical="center" wrapText="1"/>
    </xf>
    <xf numFmtId="3" fontId="24" fillId="33" borderId="2" xfId="2" applyNumberFormat="1" applyFont="1" applyFill="1" applyBorder="1" applyAlignment="1">
      <alignment horizontal="center" vertical="center" wrapText="1"/>
    </xf>
    <xf numFmtId="49" fontId="9" fillId="20" borderId="240" xfId="2" applyNumberFormat="1" applyFont="1" applyFill="1" applyBorder="1" applyAlignment="1">
      <alignment horizontal="center" vertical="center" wrapText="1"/>
    </xf>
    <xf numFmtId="49" fontId="9" fillId="33" borderId="227" xfId="2" applyNumberFormat="1" applyFont="1" applyFill="1" applyBorder="1" applyAlignment="1">
      <alignment horizontal="center" vertical="center" wrapText="1"/>
    </xf>
    <xf numFmtId="0" fontId="9" fillId="33" borderId="244" xfId="2" applyFont="1" applyFill="1" applyBorder="1" applyAlignment="1">
      <alignment horizontal="left" vertical="center" wrapText="1"/>
    </xf>
    <xf numFmtId="3" fontId="19" fillId="33" borderId="229" xfId="2" applyNumberFormat="1" applyFont="1" applyFill="1" applyBorder="1" applyAlignment="1">
      <alignment horizontal="center" vertical="center" wrapText="1"/>
    </xf>
    <xf numFmtId="3" fontId="19" fillId="33" borderId="222" xfId="2" applyNumberFormat="1" applyFont="1" applyFill="1" applyBorder="1" applyAlignment="1">
      <alignment horizontal="center" vertical="center" wrapText="1"/>
    </xf>
    <xf numFmtId="3" fontId="19" fillId="33" borderId="230" xfId="2" applyNumberFormat="1" applyFont="1" applyFill="1" applyBorder="1" applyAlignment="1">
      <alignment horizontal="center" vertical="center" wrapText="1"/>
    </xf>
    <xf numFmtId="3" fontId="19" fillId="33" borderId="234" xfId="2" applyNumberFormat="1" applyFont="1" applyFill="1" applyBorder="1" applyAlignment="1">
      <alignment horizontal="center" vertical="center" wrapText="1"/>
    </xf>
    <xf numFmtId="3" fontId="19" fillId="33" borderId="250" xfId="2" applyNumberFormat="1" applyFont="1" applyFill="1" applyBorder="1" applyAlignment="1">
      <alignment horizontal="center" vertical="center" wrapText="1"/>
    </xf>
    <xf numFmtId="3" fontId="19" fillId="33" borderId="249" xfId="2" applyNumberFormat="1" applyFont="1" applyFill="1" applyBorder="1" applyAlignment="1">
      <alignment horizontal="center" vertical="center" wrapText="1"/>
    </xf>
    <xf numFmtId="3" fontId="19" fillId="33" borderId="2" xfId="2" applyNumberFormat="1" applyFont="1" applyFill="1" applyBorder="1" applyAlignment="1">
      <alignment horizontal="center" vertical="center" wrapText="1"/>
    </xf>
    <xf numFmtId="3" fontId="25" fillId="20" borderId="235" xfId="0" applyNumberFormat="1" applyFont="1" applyFill="1" applyBorder="1" applyAlignment="1">
      <alignment horizontal="center" vertical="center"/>
    </xf>
    <xf numFmtId="3" fontId="84" fillId="8" borderId="266" xfId="2" applyNumberFormat="1" applyFont="1" applyFill="1" applyBorder="1" applyAlignment="1">
      <alignment horizontal="center" vertical="center" wrapText="1"/>
    </xf>
    <xf numFmtId="3" fontId="147" fillId="8" borderId="266" xfId="2" applyNumberFormat="1" applyFont="1" applyFill="1" applyBorder="1" applyAlignment="1">
      <alignment horizontal="center" vertical="center" wrapText="1"/>
    </xf>
    <xf numFmtId="3" fontId="147" fillId="3" borderId="266" xfId="0" applyNumberFormat="1" applyFont="1" applyFill="1" applyBorder="1" applyAlignment="1">
      <alignment horizontal="center" vertical="center"/>
    </xf>
    <xf numFmtId="3" fontId="84" fillId="3" borderId="266" xfId="4" applyNumberFormat="1" applyFont="1" applyFill="1" applyBorder="1" applyAlignment="1">
      <alignment horizontal="center" vertical="center" wrapText="1"/>
    </xf>
    <xf numFmtId="3" fontId="147" fillId="3" borderId="266" xfId="0" applyNumberFormat="1" applyFont="1" applyFill="1" applyBorder="1" applyAlignment="1">
      <alignment horizontal="center" vertical="center" wrapText="1"/>
    </xf>
    <xf numFmtId="3" fontId="19" fillId="20" borderId="265" xfId="0" applyNumberFormat="1" applyFont="1" applyFill="1" applyBorder="1" applyAlignment="1">
      <alignment horizontal="center" vertical="center"/>
    </xf>
    <xf numFmtId="3" fontId="10" fillId="20" borderId="263" xfId="0" applyNumberFormat="1" applyFont="1" applyFill="1" applyBorder="1" applyAlignment="1">
      <alignment horizontal="center" vertical="center"/>
    </xf>
    <xf numFmtId="3" fontId="25" fillId="20" borderId="265" xfId="0" applyNumberFormat="1" applyFont="1" applyFill="1" applyBorder="1" applyAlignment="1">
      <alignment horizontal="center" vertical="center"/>
    </xf>
    <xf numFmtId="3" fontId="25" fillId="20" borderId="266" xfId="0" applyNumberFormat="1" applyFont="1" applyFill="1" applyBorder="1" applyAlignment="1">
      <alignment horizontal="center" vertical="center"/>
    </xf>
    <xf numFmtId="3" fontId="25" fillId="20" borderId="267" xfId="0" applyNumberFormat="1" applyFont="1" applyFill="1" applyBorder="1" applyAlignment="1">
      <alignment horizontal="center" vertical="center"/>
    </xf>
    <xf numFmtId="3" fontId="9" fillId="20" borderId="291" xfId="0" applyNumberFormat="1" applyFont="1" applyFill="1" applyBorder="1" applyAlignment="1">
      <alignment horizontal="center" vertical="center"/>
    </xf>
    <xf numFmtId="3" fontId="0" fillId="20" borderId="265" xfId="0" applyNumberFormat="1" applyFill="1" applyBorder="1"/>
    <xf numFmtId="3" fontId="0" fillId="20" borderId="266" xfId="0" applyNumberFormat="1" applyFill="1" applyBorder="1"/>
    <xf numFmtId="3" fontId="0" fillId="20" borderId="267" xfId="0" applyNumberFormat="1" applyFill="1" applyBorder="1"/>
    <xf numFmtId="3" fontId="25" fillId="20" borderId="257" xfId="0" applyNumberFormat="1" applyFont="1" applyFill="1" applyBorder="1" applyAlignment="1">
      <alignment horizontal="center" vertical="center"/>
    </xf>
    <xf numFmtId="49" fontId="10" fillId="20" borderId="7" xfId="2" applyNumberFormat="1" applyFont="1" applyFill="1" applyBorder="1" applyAlignment="1" applyProtection="1">
      <alignment horizontal="center" vertical="center" wrapText="1"/>
      <protection locked="0"/>
    </xf>
    <xf numFmtId="49" fontId="10" fillId="21" borderId="8" xfId="2" applyNumberFormat="1" applyFont="1" applyFill="1" applyBorder="1" applyAlignment="1">
      <alignment horizontal="center" vertical="center" wrapText="1"/>
    </xf>
    <xf numFmtId="0" fontId="0" fillId="20" borderId="212" xfId="0" applyFill="1" applyBorder="1"/>
    <xf numFmtId="49" fontId="44" fillId="33" borderId="151" xfId="2" applyNumberFormat="1" applyFont="1" applyFill="1" applyBorder="1" applyAlignment="1">
      <alignment vertical="center" wrapText="1"/>
    </xf>
    <xf numFmtId="0" fontId="0" fillId="20" borderId="213" xfId="0" applyFill="1" applyBorder="1"/>
    <xf numFmtId="0" fontId="0" fillId="20" borderId="214" xfId="0" applyFill="1" applyBorder="1"/>
    <xf numFmtId="3" fontId="9" fillId="34" borderId="128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151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153" xfId="0" applyNumberFormat="1" applyFont="1" applyFill="1" applyBorder="1" applyAlignment="1" applyProtection="1">
      <alignment horizontal="center" vertical="center" wrapText="1"/>
      <protection locked="0"/>
    </xf>
    <xf numFmtId="3" fontId="9" fillId="20" borderId="155" xfId="0" applyNumberFormat="1" applyFont="1" applyFill="1" applyBorder="1" applyAlignment="1">
      <alignment horizontal="center" vertical="center"/>
    </xf>
    <xf numFmtId="3" fontId="9" fillId="20" borderId="263" xfId="0" applyNumberFormat="1" applyFont="1" applyFill="1" applyBorder="1" applyAlignment="1">
      <alignment horizontal="center" vertical="center"/>
    </xf>
    <xf numFmtId="3" fontId="9" fillId="34" borderId="265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266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267" xfId="0" applyNumberFormat="1" applyFont="1" applyFill="1" applyBorder="1" applyAlignment="1" applyProtection="1">
      <alignment horizontal="center" vertical="center" wrapText="1"/>
      <protection locked="0"/>
    </xf>
    <xf numFmtId="49" fontId="38" fillId="33" borderId="136" xfId="2" applyNumberFormat="1" applyFont="1" applyFill="1" applyBorder="1" applyAlignment="1">
      <alignment horizontal="center" vertical="center" textRotation="255" wrapText="1"/>
    </xf>
    <xf numFmtId="49" fontId="38" fillId="33" borderId="131" xfId="2" applyNumberFormat="1" applyFont="1" applyFill="1" applyBorder="1" applyAlignment="1">
      <alignment horizontal="center" vertical="center" textRotation="255" wrapText="1"/>
    </xf>
    <xf numFmtId="49" fontId="38" fillId="33" borderId="151" xfId="2" applyNumberFormat="1" applyFont="1" applyFill="1" applyBorder="1" applyAlignment="1">
      <alignment horizontal="center" vertical="center" textRotation="255" wrapText="1"/>
    </xf>
    <xf numFmtId="0" fontId="38" fillId="33" borderId="152" xfId="2" applyFont="1" applyFill="1" applyBorder="1" applyAlignment="1">
      <alignment horizontal="center" vertical="center" wrapText="1"/>
    </xf>
    <xf numFmtId="3" fontId="39" fillId="33" borderId="128" xfId="2" applyNumberFormat="1" applyFont="1" applyFill="1" applyBorder="1" applyAlignment="1">
      <alignment horizontal="center" vertical="center" wrapText="1"/>
    </xf>
    <xf numFmtId="3" fontId="39" fillId="33" borderId="129" xfId="2" applyNumberFormat="1" applyFont="1" applyFill="1" applyBorder="1" applyAlignment="1">
      <alignment horizontal="center" vertical="center" wrapText="1"/>
    </xf>
    <xf numFmtId="3" fontId="39" fillId="33" borderId="130" xfId="2" applyNumberFormat="1" applyFont="1" applyFill="1" applyBorder="1" applyAlignment="1">
      <alignment horizontal="center" vertical="center" wrapText="1"/>
    </xf>
    <xf numFmtId="3" fontId="39" fillId="33" borderId="263" xfId="2" applyNumberFormat="1" applyFont="1" applyFill="1" applyBorder="1" applyAlignment="1">
      <alignment horizontal="center" vertical="center" wrapText="1"/>
    </xf>
    <xf numFmtId="3" fontId="39" fillId="33" borderId="265" xfId="2" applyNumberFormat="1" applyFont="1" applyFill="1" applyBorder="1" applyAlignment="1">
      <alignment horizontal="center" vertical="center" wrapText="1"/>
    </xf>
    <xf numFmtId="3" fontId="39" fillId="33" borderId="266" xfId="2" applyNumberFormat="1" applyFont="1" applyFill="1" applyBorder="1" applyAlignment="1">
      <alignment horizontal="center" vertical="center" wrapText="1"/>
    </xf>
    <xf numFmtId="3" fontId="39" fillId="33" borderId="267" xfId="2" applyNumberFormat="1" applyFont="1" applyFill="1" applyBorder="1" applyAlignment="1">
      <alignment horizontal="center" vertical="center" wrapText="1"/>
    </xf>
    <xf numFmtId="3" fontId="39" fillId="33" borderId="291" xfId="2" applyNumberFormat="1" applyFont="1" applyFill="1" applyBorder="1" applyAlignment="1">
      <alignment horizontal="center" vertical="center" wrapText="1"/>
    </xf>
    <xf numFmtId="0" fontId="9" fillId="33" borderId="152" xfId="2" applyFont="1" applyFill="1" applyBorder="1" applyAlignment="1">
      <alignment horizontal="left" vertical="center" wrapText="1"/>
    </xf>
    <xf numFmtId="3" fontId="39" fillId="33" borderId="151" xfId="2" applyNumberFormat="1" applyFont="1" applyFill="1" applyBorder="1" applyAlignment="1">
      <alignment horizontal="center" vertical="center" wrapText="1"/>
    </xf>
    <xf numFmtId="3" fontId="39" fillId="33" borderId="230" xfId="2" applyNumberFormat="1" applyFont="1" applyFill="1" applyBorder="1" applyAlignment="1">
      <alignment horizontal="center" vertical="center" wrapText="1"/>
    </xf>
    <xf numFmtId="3" fontId="9" fillId="34" borderId="287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222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230" xfId="0" applyNumberFormat="1" applyFont="1" applyFill="1" applyBorder="1" applyAlignment="1" applyProtection="1">
      <alignment horizontal="center" vertical="center" wrapText="1"/>
      <protection locked="0"/>
    </xf>
    <xf numFmtId="3" fontId="9" fillId="20" borderId="171" xfId="0" applyNumberFormat="1" applyFont="1" applyFill="1" applyBorder="1" applyAlignment="1">
      <alignment horizontal="center" vertical="center"/>
    </xf>
    <xf numFmtId="49" fontId="38" fillId="33" borderId="240" xfId="2" applyNumberFormat="1" applyFont="1" applyFill="1" applyBorder="1" applyAlignment="1">
      <alignment horizontal="center" vertical="center" textRotation="255" wrapText="1"/>
    </xf>
    <xf numFmtId="49" fontId="38" fillId="33" borderId="222" xfId="2" applyNumberFormat="1" applyFont="1" applyFill="1" applyBorder="1" applyAlignment="1">
      <alignment horizontal="center" vertical="center" textRotation="255" wrapText="1"/>
    </xf>
    <xf numFmtId="0" fontId="38" fillId="33" borderId="264" xfId="2" applyFont="1" applyFill="1" applyBorder="1" applyAlignment="1">
      <alignment horizontal="center" vertical="center" wrapText="1"/>
    </xf>
    <xf numFmtId="3" fontId="39" fillId="33" borderId="287" xfId="2" applyNumberFormat="1" applyFont="1" applyFill="1" applyBorder="1" applyAlignment="1">
      <alignment horizontal="center" vertical="center" wrapText="1"/>
    </xf>
    <xf numFmtId="3" fontId="39" fillId="33" borderId="222" xfId="2" applyNumberFormat="1" applyFont="1" applyFill="1" applyBorder="1" applyAlignment="1">
      <alignment horizontal="center" vertical="center" wrapText="1"/>
    </xf>
    <xf numFmtId="3" fontId="39" fillId="33" borderId="171" xfId="2" applyNumberFormat="1" applyFont="1" applyFill="1" applyBorder="1" applyAlignment="1">
      <alignment horizontal="center" vertical="center" wrapText="1"/>
    </xf>
    <xf numFmtId="3" fontId="39" fillId="33" borderId="235" xfId="2" applyNumberFormat="1" applyFont="1" applyFill="1" applyBorder="1" applyAlignment="1">
      <alignment horizontal="center" vertical="center" wrapText="1"/>
    </xf>
    <xf numFmtId="0" fontId="9" fillId="33" borderId="264" xfId="2" applyFont="1" applyFill="1" applyBorder="1" applyAlignment="1">
      <alignment horizontal="left" vertical="center" wrapText="1"/>
    </xf>
    <xf numFmtId="3" fontId="9" fillId="34" borderId="45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8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44" xfId="0" applyNumberFormat="1" applyFont="1" applyFill="1" applyBorder="1" applyAlignment="1" applyProtection="1">
      <alignment horizontal="center" vertical="center" wrapText="1"/>
      <protection locked="0"/>
    </xf>
    <xf numFmtId="3" fontId="9" fillId="20" borderId="47" xfId="0" applyNumberFormat="1" applyFont="1" applyFill="1" applyBorder="1" applyAlignment="1">
      <alignment horizontal="center" vertical="center"/>
    </xf>
    <xf numFmtId="49" fontId="38" fillId="33" borderId="129" xfId="2" applyNumberFormat="1" applyFont="1" applyFill="1" applyBorder="1" applyAlignment="1">
      <alignment horizontal="center" vertical="center" textRotation="255" wrapText="1"/>
    </xf>
    <xf numFmtId="3" fontId="39" fillId="33" borderId="133" xfId="2" applyNumberFormat="1" applyFont="1" applyFill="1" applyBorder="1" applyAlignment="1">
      <alignment horizontal="center" vertical="center" wrapText="1"/>
    </xf>
    <xf numFmtId="3" fontId="19" fillId="33" borderId="265" xfId="2" applyNumberFormat="1" applyFont="1" applyFill="1" applyBorder="1" applyAlignment="1">
      <alignment horizontal="center" vertical="center" wrapText="1"/>
    </xf>
    <xf numFmtId="3" fontId="19" fillId="33" borderId="266" xfId="2" applyNumberFormat="1" applyFont="1" applyFill="1" applyBorder="1" applyAlignment="1">
      <alignment horizontal="center" vertical="center" wrapText="1"/>
    </xf>
    <xf numFmtId="3" fontId="19" fillId="33" borderId="267" xfId="2" applyNumberFormat="1" applyFont="1" applyFill="1" applyBorder="1" applyAlignment="1">
      <alignment horizontal="center" vertical="center" wrapText="1"/>
    </xf>
    <xf numFmtId="3" fontId="19" fillId="33" borderId="263" xfId="2" applyNumberFormat="1" applyFont="1" applyFill="1" applyBorder="1" applyAlignment="1">
      <alignment horizontal="center" vertical="center" wrapText="1"/>
    </xf>
    <xf numFmtId="3" fontId="9" fillId="20" borderId="235" xfId="0" applyNumberFormat="1" applyFont="1" applyFill="1" applyBorder="1" applyAlignment="1">
      <alignment horizontal="center" vertical="center"/>
    </xf>
    <xf numFmtId="49" fontId="9" fillId="20" borderId="222" xfId="2" applyNumberFormat="1" applyFont="1" applyFill="1" applyBorder="1" applyAlignment="1" applyProtection="1">
      <alignment horizontal="center" vertical="center" wrapText="1"/>
      <protection locked="0"/>
    </xf>
    <xf numFmtId="49" fontId="9" fillId="21" borderId="222" xfId="2" applyNumberFormat="1" applyFont="1" applyFill="1" applyBorder="1" applyAlignment="1">
      <alignment horizontal="center" vertical="center" wrapText="1"/>
    </xf>
    <xf numFmtId="0" fontId="9" fillId="21" borderId="264" xfId="2" applyFont="1" applyFill="1" applyBorder="1" applyAlignment="1">
      <alignment horizontal="left" vertical="center" wrapText="1"/>
    </xf>
    <xf numFmtId="3" fontId="19" fillId="21" borderId="265" xfId="6" applyNumberFormat="1" applyFont="1" applyFill="1" applyBorder="1" applyAlignment="1">
      <alignment horizontal="center" vertical="center"/>
    </xf>
    <xf numFmtId="3" fontId="19" fillId="20" borderId="263" xfId="0" applyNumberFormat="1" applyFont="1" applyFill="1" applyBorder="1" applyAlignment="1">
      <alignment horizontal="center" vertical="center"/>
    </xf>
    <xf numFmtId="3" fontId="10" fillId="20" borderId="275" xfId="0" applyNumberFormat="1" applyFont="1" applyFill="1" applyBorder="1" applyAlignment="1">
      <alignment horizontal="center" vertical="center"/>
    </xf>
    <xf numFmtId="3" fontId="10" fillId="33" borderId="291" xfId="2" applyNumberFormat="1" applyFont="1" applyFill="1" applyBorder="1" applyAlignment="1">
      <alignment horizontal="center" vertical="center" wrapText="1"/>
    </xf>
    <xf numFmtId="0" fontId="33" fillId="20" borderId="222" xfId="0" applyFont="1" applyFill="1" applyBorder="1"/>
    <xf numFmtId="49" fontId="100" fillId="33" borderId="222" xfId="2" applyNumberFormat="1" applyFont="1" applyFill="1" applyBorder="1" applyAlignment="1">
      <alignment vertical="center" wrapText="1"/>
    </xf>
    <xf numFmtId="49" fontId="53" fillId="33" borderId="264" xfId="2" applyNumberFormat="1" applyFont="1" applyFill="1" applyBorder="1" applyAlignment="1">
      <alignment vertical="center" wrapText="1"/>
    </xf>
    <xf numFmtId="0" fontId="25" fillId="20" borderId="265" xfId="0" applyFont="1" applyFill="1" applyBorder="1" applyAlignment="1">
      <alignment horizontal="center" vertical="center"/>
    </xf>
    <xf numFmtId="0" fontId="0" fillId="20" borderId="265" xfId="0" applyFill="1" applyBorder="1"/>
    <xf numFmtId="0" fontId="0" fillId="20" borderId="266" xfId="0" applyFill="1" applyBorder="1"/>
    <xf numFmtId="0" fontId="0" fillId="20" borderId="267" xfId="0" applyFill="1" applyBorder="1"/>
    <xf numFmtId="0" fontId="0" fillId="20" borderId="291" xfId="0" applyFill="1" applyBorder="1"/>
    <xf numFmtId="0" fontId="33" fillId="20" borderId="224" xfId="0" applyFont="1" applyFill="1" applyBorder="1"/>
    <xf numFmtId="0" fontId="33" fillId="20" borderId="279" xfId="0" applyFont="1" applyFill="1" applyBorder="1"/>
    <xf numFmtId="3" fontId="25" fillId="20" borderId="231" xfId="0" applyNumberFormat="1" applyFont="1" applyFill="1" applyBorder="1" applyAlignment="1">
      <alignment horizontal="center" vertical="center"/>
    </xf>
    <xf numFmtId="3" fontId="25" fillId="20" borderId="232" xfId="0" applyNumberFormat="1" applyFont="1" applyFill="1" applyBorder="1" applyAlignment="1">
      <alignment horizontal="center" vertical="center"/>
    </xf>
    <xf numFmtId="3" fontId="19" fillId="20" borderId="282" xfId="0" applyNumberFormat="1" applyFont="1" applyFill="1" applyBorder="1" applyAlignment="1">
      <alignment horizontal="center" vertical="center"/>
    </xf>
    <xf numFmtId="3" fontId="19" fillId="20" borderId="231" xfId="0" applyNumberFormat="1" applyFont="1" applyFill="1" applyBorder="1" applyAlignment="1">
      <alignment horizontal="center" vertical="center"/>
    </xf>
    <xf numFmtId="3" fontId="19" fillId="20" borderId="257" xfId="0" applyNumberFormat="1" applyFont="1" applyFill="1" applyBorder="1" applyAlignment="1">
      <alignment horizontal="center" vertical="center"/>
    </xf>
    <xf numFmtId="3" fontId="19" fillId="20" borderId="232" xfId="0" applyNumberFormat="1" applyFont="1" applyFill="1" applyBorder="1" applyAlignment="1">
      <alignment horizontal="center" vertical="center"/>
    </xf>
    <xf numFmtId="3" fontId="0" fillId="20" borderId="231" xfId="0" applyNumberFormat="1" applyFill="1" applyBorder="1"/>
    <xf numFmtId="3" fontId="0" fillId="20" borderId="257" xfId="0" applyNumberFormat="1" applyFill="1" applyBorder="1"/>
    <xf numFmtId="3" fontId="0" fillId="20" borderId="232" xfId="0" applyNumberFormat="1" applyFill="1" applyBorder="1"/>
    <xf numFmtId="0" fontId="0" fillId="20" borderId="233" xfId="0" applyFill="1" applyBorder="1"/>
    <xf numFmtId="3" fontId="37" fillId="20" borderId="10" xfId="0" applyNumberFormat="1" applyFont="1" applyFill="1" applyBorder="1" applyAlignment="1">
      <alignment horizontal="center" vertical="center" wrapText="1"/>
    </xf>
    <xf numFmtId="3" fontId="37" fillId="34" borderId="229" xfId="0" applyNumberFormat="1" applyFont="1" applyFill="1" applyBorder="1" applyAlignment="1" applyProtection="1">
      <alignment horizontal="center" vertical="center" wrapText="1"/>
      <protection locked="0"/>
    </xf>
    <xf numFmtId="3" fontId="37" fillId="34" borderId="222" xfId="0" applyNumberFormat="1" applyFont="1" applyFill="1" applyBorder="1" applyAlignment="1" applyProtection="1">
      <alignment horizontal="center" vertical="center" wrapText="1"/>
      <protection locked="0"/>
    </xf>
    <xf numFmtId="3" fontId="37" fillId="34" borderId="230" xfId="0" applyNumberFormat="1" applyFont="1" applyFill="1" applyBorder="1" applyAlignment="1" applyProtection="1">
      <alignment horizontal="center" vertical="center" wrapText="1"/>
      <protection locked="0"/>
    </xf>
    <xf numFmtId="3" fontId="37" fillId="20" borderId="155" xfId="0" applyNumberFormat="1" applyFont="1" applyFill="1" applyBorder="1" applyAlignment="1">
      <alignment horizontal="center" vertical="center"/>
    </xf>
    <xf numFmtId="49" fontId="37" fillId="33" borderId="240" xfId="2" applyNumberFormat="1" applyFont="1" applyFill="1" applyBorder="1" applyAlignment="1">
      <alignment horizontal="center" vertical="center" textRotation="255" wrapText="1"/>
    </xf>
    <xf numFmtId="49" fontId="37" fillId="33" borderId="222" xfId="2" applyNumberFormat="1" applyFont="1" applyFill="1" applyBorder="1" applyAlignment="1">
      <alignment horizontal="center" vertical="center" textRotation="255" wrapText="1"/>
    </xf>
    <xf numFmtId="0" fontId="37" fillId="33" borderId="227" xfId="2" applyFont="1" applyFill="1" applyBorder="1" applyAlignment="1">
      <alignment horizontal="center" vertical="center" wrapText="1"/>
    </xf>
    <xf numFmtId="3" fontId="54" fillId="33" borderId="265" xfId="2" applyNumberFormat="1" applyFont="1" applyFill="1" applyBorder="1" applyAlignment="1">
      <alignment horizontal="center" vertical="center" wrapText="1"/>
    </xf>
    <xf numFmtId="3" fontId="54" fillId="33" borderId="266" xfId="2" applyNumberFormat="1" applyFont="1" applyFill="1" applyBorder="1" applyAlignment="1">
      <alignment horizontal="center" vertical="center" wrapText="1"/>
    </xf>
    <xf numFmtId="3" fontId="54" fillId="33" borderId="267" xfId="2" applyNumberFormat="1" applyFont="1" applyFill="1" applyBorder="1" applyAlignment="1">
      <alignment horizontal="center" vertical="center" wrapText="1"/>
    </xf>
    <xf numFmtId="3" fontId="54" fillId="33" borderId="263" xfId="2" applyNumberFormat="1" applyFont="1" applyFill="1" applyBorder="1" applyAlignment="1">
      <alignment horizontal="center" vertical="center" wrapText="1"/>
    </xf>
    <xf numFmtId="3" fontId="54" fillId="33" borderId="268" xfId="2" applyNumberFormat="1" applyFont="1" applyFill="1" applyBorder="1" applyAlignment="1">
      <alignment horizontal="center" vertical="center" wrapText="1"/>
    </xf>
    <xf numFmtId="3" fontId="54" fillId="33" borderId="64" xfId="2" applyNumberFormat="1" applyFont="1" applyFill="1" applyBorder="1" applyAlignment="1">
      <alignment horizontal="center" vertical="center" wrapText="1"/>
    </xf>
    <xf numFmtId="49" fontId="37" fillId="33" borderId="240" xfId="2" applyNumberFormat="1" applyFont="1" applyFill="1" applyBorder="1" applyAlignment="1">
      <alignment horizontal="center" vertical="center" wrapText="1"/>
    </xf>
    <xf numFmtId="49" fontId="37" fillId="33" borderId="222" xfId="2" applyNumberFormat="1" applyFont="1" applyFill="1" applyBorder="1" applyAlignment="1">
      <alignment horizontal="center" vertical="center" wrapText="1"/>
    </xf>
    <xf numFmtId="0" fontId="37" fillId="33" borderId="227" xfId="2" applyFont="1" applyFill="1" applyBorder="1" applyAlignment="1">
      <alignment horizontal="left" vertical="center" wrapText="1"/>
    </xf>
    <xf numFmtId="3" fontId="37" fillId="20" borderId="229" xfId="10" applyNumberFormat="1" applyFont="1" applyFill="1" applyBorder="1" applyAlignment="1">
      <alignment horizontal="center" vertical="center"/>
    </xf>
    <xf numFmtId="3" fontId="37" fillId="20" borderId="222" xfId="10" applyNumberFormat="1" applyFont="1" applyFill="1" applyBorder="1" applyAlignment="1">
      <alignment horizontal="center" vertical="center"/>
    </xf>
    <xf numFmtId="3" fontId="37" fillId="20" borderId="230" xfId="10" applyNumberFormat="1" applyFont="1" applyFill="1" applyBorder="1" applyAlignment="1">
      <alignment horizontal="center" vertical="center"/>
    </xf>
    <xf numFmtId="3" fontId="37" fillId="20" borderId="171" xfId="10" applyNumberFormat="1" applyFont="1" applyFill="1" applyBorder="1" applyAlignment="1">
      <alignment horizontal="center" vertical="center"/>
    </xf>
    <xf numFmtId="3" fontId="37" fillId="33" borderId="235" xfId="2" applyNumberFormat="1" applyFont="1" applyFill="1" applyBorder="1" applyAlignment="1">
      <alignment horizontal="center" vertical="center" wrapText="1"/>
    </xf>
    <xf numFmtId="3" fontId="54" fillId="0" borderId="267" xfId="0" applyNumberFormat="1" applyFont="1" applyBorder="1" applyAlignment="1">
      <alignment horizontal="center" vertical="center"/>
    </xf>
    <xf numFmtId="3" fontId="67" fillId="0" borderId="26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4" fillId="3" borderId="285" xfId="0" applyFont="1" applyFill="1" applyBorder="1" applyAlignment="1">
      <alignment horizontal="center" vertical="center"/>
    </xf>
    <xf numFmtId="0" fontId="67" fillId="0" borderId="275" xfId="0" applyFont="1" applyBorder="1" applyAlignment="1">
      <alignment wrapText="1"/>
    </xf>
    <xf numFmtId="3" fontId="68" fillId="3" borderId="273" xfId="0" applyNumberFormat="1" applyFont="1" applyFill="1" applyBorder="1" applyAlignment="1">
      <alignment horizontal="center" vertical="center" wrapText="1"/>
    </xf>
    <xf numFmtId="0" fontId="0" fillId="2" borderId="265" xfId="0" applyFill="1" applyBorder="1"/>
    <xf numFmtId="0" fontId="0" fillId="2" borderId="266" xfId="0" applyFill="1" applyBorder="1"/>
    <xf numFmtId="0" fontId="0" fillId="2" borderId="267" xfId="0" applyFill="1" applyBorder="1"/>
    <xf numFmtId="3" fontId="54" fillId="2" borderId="275" xfId="0" applyNumberFormat="1" applyFont="1" applyFill="1" applyBorder="1" applyAlignment="1">
      <alignment horizontal="center" vertical="center"/>
    </xf>
    <xf numFmtId="0" fontId="166" fillId="0" borderId="275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17" fillId="0" borderId="0" xfId="0" applyFont="1" applyAlignment="1">
      <alignment horizontal="center"/>
    </xf>
    <xf numFmtId="4" fontId="108" fillId="3" borderId="93" xfId="0" applyNumberFormat="1" applyFont="1" applyFill="1" applyBorder="1" applyAlignment="1">
      <alignment horizontal="center" vertical="center"/>
    </xf>
    <xf numFmtId="3" fontId="9" fillId="20" borderId="0" xfId="0" applyNumberFormat="1" applyFont="1" applyFill="1" applyBorder="1" applyAlignment="1">
      <alignment horizontal="center" vertical="center" textRotation="255" wrapText="1"/>
    </xf>
    <xf numFmtId="3" fontId="39" fillId="33" borderId="0" xfId="2" applyNumberFormat="1" applyFont="1" applyFill="1" applyBorder="1" applyAlignment="1">
      <alignment horizontal="center" vertical="center" wrapText="1"/>
    </xf>
    <xf numFmtId="3" fontId="69" fillId="2" borderId="262" xfId="0" applyNumberFormat="1" applyFont="1" applyFill="1" applyBorder="1" applyAlignment="1">
      <alignment horizontal="center" vertical="center"/>
    </xf>
    <xf numFmtId="0" fontId="0" fillId="2" borderId="253" xfId="0" applyFill="1" applyBorder="1"/>
    <xf numFmtId="0" fontId="0" fillId="2" borderId="254" xfId="0" applyFill="1" applyBorder="1"/>
    <xf numFmtId="0" fontId="0" fillId="2" borderId="255" xfId="0" applyFill="1" applyBorder="1"/>
    <xf numFmtId="0" fontId="0" fillId="2" borderId="305" xfId="0" applyFill="1" applyBorder="1"/>
    <xf numFmtId="3" fontId="0" fillId="0" borderId="70" xfId="0" applyNumberFormat="1" applyBorder="1"/>
    <xf numFmtId="3" fontId="37" fillId="3" borderId="287" xfId="0" applyNumberFormat="1" applyFont="1" applyFill="1" applyBorder="1" applyAlignment="1">
      <alignment horizontal="center" vertical="center"/>
    </xf>
    <xf numFmtId="0" fontId="70" fillId="2" borderId="287" xfId="0" applyFont="1" applyFill="1" applyBorder="1" applyAlignment="1">
      <alignment horizontal="center" vertical="center"/>
    </xf>
    <xf numFmtId="0" fontId="70" fillId="2" borderId="288" xfId="0" applyFont="1" applyFill="1" applyBorder="1" applyAlignment="1">
      <alignment horizontal="center" vertical="center"/>
    </xf>
    <xf numFmtId="0" fontId="0" fillId="2" borderId="290" xfId="0" applyFill="1" applyBorder="1"/>
    <xf numFmtId="3" fontId="54" fillId="5" borderId="273" xfId="2" applyNumberFormat="1" applyFont="1" applyFill="1" applyBorder="1" applyAlignment="1">
      <alignment horizontal="center" vertical="center" wrapText="1"/>
    </xf>
    <xf numFmtId="3" fontId="54" fillId="3" borderId="273" xfId="0" applyNumberFormat="1" applyFont="1" applyFill="1" applyBorder="1" applyAlignment="1">
      <alignment horizontal="center" vertical="center"/>
    </xf>
    <xf numFmtId="3" fontId="37" fillId="2" borderId="273" xfId="0" applyNumberFormat="1" applyFont="1" applyFill="1" applyBorder="1" applyAlignment="1">
      <alignment horizontal="center" vertical="center"/>
    </xf>
    <xf numFmtId="3" fontId="37" fillId="2" borderId="275" xfId="0" applyNumberFormat="1" applyFont="1" applyFill="1" applyBorder="1" applyAlignment="1">
      <alignment horizontal="center" vertical="center"/>
    </xf>
    <xf numFmtId="3" fontId="54" fillId="5" borderId="275" xfId="2" applyNumberFormat="1" applyFont="1" applyFill="1" applyBorder="1" applyAlignment="1">
      <alignment horizontal="center" vertical="center" wrapText="1"/>
    </xf>
    <xf numFmtId="3" fontId="54" fillId="2" borderId="294" xfId="0" applyNumberFormat="1" applyFont="1" applyFill="1" applyBorder="1" applyAlignment="1">
      <alignment horizontal="center" vertical="center"/>
    </xf>
    <xf numFmtId="0" fontId="158" fillId="2" borderId="263" xfId="0" applyFont="1" applyFill="1" applyBorder="1" applyAlignment="1">
      <alignment horizontal="center" vertical="center"/>
    </xf>
    <xf numFmtId="1" fontId="157" fillId="3" borderId="263" xfId="0" applyNumberFormat="1" applyFont="1" applyFill="1" applyBorder="1" applyAlignment="1">
      <alignment horizontal="center" vertical="center"/>
    </xf>
    <xf numFmtId="1" fontId="157" fillId="14" borderId="263" xfId="0" applyNumberFormat="1" applyFont="1" applyFill="1" applyBorder="1" applyAlignment="1">
      <alignment horizontal="center" vertical="center"/>
    </xf>
    <xf numFmtId="0" fontId="159" fillId="2" borderId="11" xfId="0" applyFont="1" applyFill="1" applyBorder="1" applyAlignment="1">
      <alignment horizontal="left" vertical="center" wrapText="1"/>
    </xf>
    <xf numFmtId="0" fontId="157" fillId="2" borderId="275" xfId="0" applyFont="1" applyFill="1" applyBorder="1" applyAlignment="1">
      <alignment horizontal="center" vertical="center" wrapText="1"/>
    </xf>
    <xf numFmtId="0" fontId="173" fillId="3" borderId="275" xfId="0" applyFont="1" applyFill="1" applyBorder="1" applyAlignment="1">
      <alignment horizontal="left" vertical="center" wrapText="1"/>
    </xf>
    <xf numFmtId="0" fontId="157" fillId="3" borderId="275" xfId="0" applyFont="1" applyFill="1" applyBorder="1" applyAlignment="1">
      <alignment horizontal="left" vertical="center" wrapText="1"/>
    </xf>
    <xf numFmtId="0" fontId="0" fillId="2" borderId="235" xfId="0" applyFill="1" applyBorder="1"/>
    <xf numFmtId="49" fontId="37" fillId="9" borderId="264" xfId="2" applyNumberFormat="1" applyFont="1" applyFill="1" applyBorder="1" applyAlignment="1">
      <alignment horizontal="center" vertical="center" wrapText="1"/>
    </xf>
    <xf numFmtId="49" fontId="44" fillId="5" borderId="264" xfId="2" applyNumberFormat="1" applyFont="1" applyFill="1" applyBorder="1" applyAlignment="1">
      <alignment vertical="center" wrapText="1"/>
    </xf>
    <xf numFmtId="0" fontId="43" fillId="2" borderId="264" xfId="0" applyFont="1" applyFill="1" applyBorder="1" applyAlignment="1"/>
    <xf numFmtId="2" fontId="37" fillId="3" borderId="267" xfId="0" applyNumberFormat="1" applyFont="1" applyFill="1" applyBorder="1" applyAlignment="1">
      <alignment horizontal="left" vertical="center" wrapText="1"/>
    </xf>
    <xf numFmtId="49" fontId="37" fillId="9" borderId="267" xfId="2" applyNumberFormat="1" applyFont="1" applyFill="1" applyBorder="1" applyAlignment="1">
      <alignment horizontal="left" vertical="center" wrapText="1"/>
    </xf>
    <xf numFmtId="0" fontId="9" fillId="16" borderId="267" xfId="2" applyFont="1" applyFill="1" applyBorder="1" applyAlignment="1">
      <alignment horizontal="left" vertical="center" wrapText="1"/>
    </xf>
    <xf numFmtId="49" fontId="53" fillId="5" borderId="267" xfId="2" applyNumberFormat="1" applyFont="1" applyFill="1" applyBorder="1" applyAlignment="1">
      <alignment vertical="center" wrapText="1"/>
    </xf>
    <xf numFmtId="49" fontId="38" fillId="33" borderId="272" xfId="2" applyNumberFormat="1" applyFont="1" applyFill="1" applyBorder="1" applyAlignment="1">
      <alignment horizontal="center" vertical="center" textRotation="255" wrapText="1"/>
    </xf>
    <xf numFmtId="49" fontId="38" fillId="33" borderId="266" xfId="2" applyNumberFormat="1" applyFont="1" applyFill="1" applyBorder="1" applyAlignment="1">
      <alignment horizontal="center" vertical="center" textRotation="255" wrapText="1"/>
    </xf>
    <xf numFmtId="49" fontId="9" fillId="8" borderId="266" xfId="1" applyNumberFormat="1" applyFont="1" applyFill="1" applyBorder="1" applyAlignment="1" applyProtection="1">
      <alignment horizontal="center" vertical="center" wrapText="1"/>
      <protection locked="0"/>
    </xf>
    <xf numFmtId="49" fontId="10" fillId="8" borderId="266" xfId="1" applyNumberFormat="1" applyFont="1" applyFill="1" applyBorder="1" applyAlignment="1" applyProtection="1">
      <alignment horizontal="center" vertical="center" wrapText="1"/>
      <protection locked="0"/>
    </xf>
    <xf numFmtId="49" fontId="10" fillId="8" borderId="266" xfId="2" applyNumberFormat="1" applyFont="1" applyFill="1" applyBorder="1" applyAlignment="1" applyProtection="1">
      <alignment horizontal="center" vertical="center" wrapText="1"/>
      <protection locked="0"/>
    </xf>
    <xf numFmtId="49" fontId="9" fillId="3" borderId="309" xfId="2" applyNumberFormat="1" applyFont="1" applyFill="1" applyBorder="1" applyAlignment="1">
      <alignment horizontal="center" vertical="center" wrapText="1"/>
    </xf>
    <xf numFmtId="49" fontId="9" fillId="3" borderId="310" xfId="2" applyNumberFormat="1" applyFont="1" applyFill="1" applyBorder="1" applyAlignment="1">
      <alignment horizontal="center" vertical="center" wrapText="1"/>
    </xf>
    <xf numFmtId="49" fontId="9" fillId="8" borderId="310" xfId="1" applyNumberFormat="1" applyFont="1" applyFill="1" applyBorder="1" applyAlignment="1" applyProtection="1">
      <alignment horizontal="center" vertical="center" wrapText="1"/>
      <protection locked="0"/>
    </xf>
    <xf numFmtId="0" fontId="9" fillId="8" borderId="311" xfId="2" applyFont="1" applyFill="1" applyBorder="1" applyAlignment="1">
      <alignment horizontal="left" vertical="center" wrapText="1"/>
    </xf>
    <xf numFmtId="3" fontId="9" fillId="0" borderId="312" xfId="5" applyNumberFormat="1" applyFont="1" applyBorder="1" applyAlignment="1">
      <alignment horizontal="center" vertical="center"/>
    </xf>
    <xf numFmtId="3" fontId="10" fillId="3" borderId="310" xfId="0" applyNumberFormat="1" applyFont="1" applyFill="1" applyBorder="1" applyAlignment="1">
      <alignment horizontal="center" vertical="center"/>
    </xf>
    <xf numFmtId="3" fontId="10" fillId="3" borderId="313" xfId="0" applyNumberFormat="1" applyFont="1" applyFill="1" applyBorder="1" applyAlignment="1">
      <alignment horizontal="center" vertical="center"/>
    </xf>
    <xf numFmtId="3" fontId="9" fillId="3" borderId="286" xfId="0" applyNumberFormat="1" applyFont="1" applyFill="1" applyBorder="1" applyAlignment="1">
      <alignment horizontal="center" vertical="center"/>
    </xf>
    <xf numFmtId="3" fontId="9" fillId="3" borderId="312" xfId="5" applyNumberFormat="1" applyFont="1" applyFill="1" applyBorder="1" applyAlignment="1">
      <alignment horizontal="center" vertical="center"/>
    </xf>
    <xf numFmtId="3" fontId="9" fillId="0" borderId="286" xfId="0" applyNumberFormat="1" applyFont="1" applyBorder="1" applyAlignment="1">
      <alignment horizontal="center" vertical="center"/>
    </xf>
    <xf numFmtId="3" fontId="9" fillId="3" borderId="314" xfId="0" applyNumberFormat="1" applyFont="1" applyFill="1" applyBorder="1" applyAlignment="1">
      <alignment horizontal="center" vertical="center"/>
    </xf>
    <xf numFmtId="3" fontId="19" fillId="20" borderId="315" xfId="0" applyNumberFormat="1" applyFont="1" applyFill="1" applyBorder="1" applyAlignment="1">
      <alignment horizontal="center" vertical="center"/>
    </xf>
    <xf numFmtId="3" fontId="37" fillId="2" borderId="0" xfId="0" applyNumberFormat="1" applyFont="1" applyFill="1" applyBorder="1" applyAlignment="1">
      <alignment horizontal="center" vertical="center"/>
    </xf>
    <xf numFmtId="0" fontId="129" fillId="0" borderId="0" xfId="0" applyFont="1" applyAlignment="1">
      <alignment horizontal="center"/>
    </xf>
    <xf numFmtId="3" fontId="174" fillId="5" borderId="0" xfId="2" applyNumberFormat="1" applyFont="1" applyFill="1" applyBorder="1" applyAlignment="1">
      <alignment horizontal="center" vertical="center" wrapText="1"/>
    </xf>
    <xf numFmtId="3" fontId="105" fillId="9" borderId="0" xfId="2" applyNumberFormat="1" applyFont="1" applyFill="1" applyBorder="1" applyAlignment="1">
      <alignment horizontal="center" vertical="center" wrapText="1"/>
    </xf>
    <xf numFmtId="3" fontId="129" fillId="5" borderId="0" xfId="2" applyNumberFormat="1" applyFont="1" applyFill="1" applyBorder="1" applyAlignment="1">
      <alignment horizontal="center" vertical="center" wrapText="1"/>
    </xf>
    <xf numFmtId="3" fontId="143" fillId="9" borderId="0" xfId="2" applyNumberFormat="1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/>
    </xf>
    <xf numFmtId="3" fontId="129" fillId="9" borderId="0" xfId="2" applyNumberFormat="1" applyFont="1" applyFill="1" applyBorder="1" applyAlignment="1">
      <alignment horizontal="center" vertical="center" wrapText="1"/>
    </xf>
    <xf numFmtId="0" fontId="124" fillId="0" borderId="0" xfId="0" applyFont="1" applyBorder="1" applyAlignment="1">
      <alignment horizontal="center" vertical="center"/>
    </xf>
    <xf numFmtId="3" fontId="175" fillId="5" borderId="0" xfId="2" applyNumberFormat="1" applyFont="1" applyFill="1" applyBorder="1" applyAlignment="1">
      <alignment horizontal="center" vertical="center" wrapText="1"/>
    </xf>
    <xf numFmtId="1" fontId="157" fillId="3" borderId="262" xfId="0" applyNumberFormat="1" applyFont="1" applyFill="1" applyBorder="1" applyAlignment="1">
      <alignment horizontal="center" vertical="center"/>
    </xf>
    <xf numFmtId="1" fontId="157" fillId="29" borderId="263" xfId="0" applyNumberFormat="1" applyFont="1" applyFill="1" applyBorder="1" applyAlignment="1">
      <alignment horizontal="center" vertical="center"/>
    </xf>
    <xf numFmtId="1" fontId="157" fillId="3" borderId="262" xfId="0" applyNumberFormat="1" applyFont="1" applyFill="1" applyBorder="1" applyAlignment="1">
      <alignment vertical="center"/>
    </xf>
    <xf numFmtId="1" fontId="157" fillId="3" borderId="318" xfId="0" applyNumberFormat="1" applyFont="1" applyFill="1" applyBorder="1" applyAlignment="1">
      <alignment horizontal="center" vertical="center"/>
    </xf>
    <xf numFmtId="1" fontId="157" fillId="28" borderId="262" xfId="0" applyNumberFormat="1" applyFont="1" applyFill="1" applyBorder="1" applyAlignment="1">
      <alignment horizontal="center" vertical="center"/>
    </xf>
    <xf numFmtId="0" fontId="157" fillId="3" borderId="275" xfId="0" applyFont="1" applyFill="1" applyBorder="1" applyAlignment="1">
      <alignment horizontal="left" vertical="center" wrapText="1"/>
    </xf>
    <xf numFmtId="49" fontId="157" fillId="8" borderId="275" xfId="0" applyNumberFormat="1" applyFont="1" applyFill="1" applyBorder="1" applyAlignment="1" applyProtection="1">
      <alignment horizontal="left" vertical="center" wrapText="1"/>
      <protection locked="0"/>
    </xf>
    <xf numFmtId="49" fontId="157" fillId="18" borderId="275" xfId="0" applyNumberFormat="1" applyFont="1" applyFill="1" applyBorder="1" applyAlignment="1" applyProtection="1">
      <alignment horizontal="left" vertical="center" wrapText="1"/>
      <protection locked="0"/>
    </xf>
    <xf numFmtId="0" fontId="157" fillId="3" borderId="275" xfId="0" applyFont="1" applyFill="1" applyBorder="1" applyAlignment="1">
      <alignment vertical="center" wrapText="1"/>
    </xf>
    <xf numFmtId="0" fontId="104" fillId="0" borderId="275" xfId="0" applyFont="1" applyBorder="1" applyAlignment="1">
      <alignment wrapText="1"/>
    </xf>
    <xf numFmtId="0" fontId="161" fillId="3" borderId="275" xfId="0" applyFont="1" applyFill="1" applyBorder="1" applyAlignment="1">
      <alignment horizontal="left" vertical="center" wrapText="1"/>
    </xf>
    <xf numFmtId="0" fontId="157" fillId="3" borderId="275" xfId="0" applyFont="1" applyFill="1" applyBorder="1"/>
    <xf numFmtId="49" fontId="157" fillId="3" borderId="275" xfId="0" applyNumberFormat="1" applyFont="1" applyFill="1" applyBorder="1" applyAlignment="1" applyProtection="1">
      <alignment horizontal="left" vertical="center" wrapText="1"/>
      <protection locked="0"/>
    </xf>
    <xf numFmtId="0" fontId="157" fillId="3" borderId="315" xfId="0" applyFont="1" applyFill="1" applyBorder="1" applyAlignment="1">
      <alignment horizontal="left" vertical="center" wrapText="1"/>
    </xf>
    <xf numFmtId="0" fontId="32" fillId="20" borderId="11" xfId="9" applyFont="1" applyFill="1" applyBorder="1" applyAlignment="1">
      <alignment horizontal="center" vertical="center" wrapText="1"/>
    </xf>
    <xf numFmtId="3" fontId="32" fillId="0" borderId="275" xfId="0" applyNumberFormat="1" applyFont="1" applyBorder="1" applyAlignment="1">
      <alignment horizontal="center" vertical="center"/>
    </xf>
    <xf numFmtId="3" fontId="32" fillId="0" borderId="291" xfId="0" applyNumberFormat="1" applyFont="1" applyBorder="1" applyAlignment="1">
      <alignment horizontal="center" vertical="center"/>
    </xf>
    <xf numFmtId="3" fontId="31" fillId="0" borderId="275" xfId="0" applyNumberFormat="1" applyFont="1" applyBorder="1" applyAlignment="1">
      <alignment horizontal="center" vertical="center"/>
    </xf>
    <xf numFmtId="3" fontId="31" fillId="0" borderId="291" xfId="0" applyNumberFormat="1" applyFont="1" applyBorder="1" applyAlignment="1">
      <alignment horizontal="center" vertical="center"/>
    </xf>
    <xf numFmtId="3" fontId="31" fillId="3" borderId="275" xfId="0" applyNumberFormat="1" applyFont="1" applyFill="1" applyBorder="1" applyAlignment="1">
      <alignment horizontal="center" vertical="center"/>
    </xf>
    <xf numFmtId="3" fontId="31" fillId="3" borderId="291" xfId="0" applyNumberFormat="1" applyFont="1" applyFill="1" applyBorder="1" applyAlignment="1">
      <alignment horizontal="center" vertical="center"/>
    </xf>
    <xf numFmtId="3" fontId="5" fillId="0" borderId="275" xfId="0" applyNumberFormat="1" applyFont="1" applyBorder="1" applyAlignment="1">
      <alignment horizontal="center" vertical="center"/>
    </xf>
    <xf numFmtId="3" fontId="5" fillId="0" borderId="291" xfId="0" applyNumberFormat="1" applyFont="1" applyBorder="1" applyAlignment="1">
      <alignment horizontal="center" vertical="center"/>
    </xf>
    <xf numFmtId="3" fontId="25" fillId="0" borderId="275" xfId="0" applyNumberFormat="1" applyFont="1" applyBorder="1" applyAlignment="1">
      <alignment horizontal="center" vertical="center"/>
    </xf>
    <xf numFmtId="3" fontId="22" fillId="3" borderId="315" xfId="0" applyNumberFormat="1" applyFont="1" applyFill="1" applyBorder="1" applyAlignment="1">
      <alignment horizontal="center" vertical="center"/>
    </xf>
    <xf numFmtId="3" fontId="22" fillId="3" borderId="314" xfId="0" applyNumberFormat="1" applyFont="1" applyFill="1" applyBorder="1" applyAlignment="1">
      <alignment horizontal="center" vertical="center"/>
    </xf>
    <xf numFmtId="0" fontId="122" fillId="0" borderId="0" xfId="0" applyFont="1" applyFill="1"/>
    <xf numFmtId="3" fontId="125" fillId="20" borderId="287" xfId="0" applyNumberFormat="1" applyFont="1" applyFill="1" applyBorder="1" applyAlignment="1" applyProtection="1">
      <alignment horizontal="center" vertical="center" wrapText="1"/>
      <protection locked="0"/>
    </xf>
    <xf numFmtId="3" fontId="125" fillId="20" borderId="266" xfId="0" applyNumberFormat="1" applyFont="1" applyFill="1" applyBorder="1" applyAlignment="1" applyProtection="1">
      <alignment horizontal="center" vertical="center" wrapText="1"/>
      <protection locked="0"/>
    </xf>
    <xf numFmtId="3" fontId="125" fillId="20" borderId="267" xfId="0" applyNumberFormat="1" applyFont="1" applyFill="1" applyBorder="1" applyAlignment="1" applyProtection="1">
      <alignment horizontal="center" vertical="center" wrapText="1"/>
      <protection locked="0"/>
    </xf>
    <xf numFmtId="3" fontId="125" fillId="20" borderId="275" xfId="0" applyNumberFormat="1" applyFont="1" applyFill="1" applyBorder="1" applyAlignment="1">
      <alignment horizontal="center" vertical="center"/>
    </xf>
    <xf numFmtId="49" fontId="122" fillId="0" borderId="150" xfId="2" applyNumberFormat="1" applyFont="1" applyFill="1" applyBorder="1" applyAlignment="1">
      <alignment horizontal="center" vertical="center" wrapText="1"/>
    </xf>
    <xf numFmtId="0" fontId="122" fillId="0" borderId="263" xfId="2" applyFont="1" applyFill="1" applyBorder="1" applyAlignment="1">
      <alignment horizontal="left" vertical="center" wrapText="1"/>
    </xf>
    <xf numFmtId="3" fontId="122" fillId="0" borderId="287" xfId="2" applyNumberFormat="1" applyFont="1" applyFill="1" applyBorder="1" applyAlignment="1">
      <alignment horizontal="center" vertical="center" wrapText="1"/>
    </xf>
    <xf numFmtId="3" fontId="122" fillId="0" borderId="266" xfId="2" applyNumberFormat="1" applyFont="1" applyFill="1" applyBorder="1" applyAlignment="1">
      <alignment horizontal="center" vertical="center" wrapText="1"/>
    </xf>
    <xf numFmtId="3" fontId="122" fillId="0" borderId="267" xfId="2" applyNumberFormat="1" applyFont="1" applyFill="1" applyBorder="1" applyAlignment="1">
      <alignment horizontal="center" vertical="center" wrapText="1"/>
    </xf>
    <xf numFmtId="3" fontId="122" fillId="0" borderId="275" xfId="2" applyNumberFormat="1" applyFont="1" applyFill="1" applyBorder="1" applyAlignment="1">
      <alignment horizontal="center" vertical="center" wrapText="1"/>
    </xf>
    <xf numFmtId="3" fontId="122" fillId="0" borderId="273" xfId="2" applyNumberFormat="1" applyFont="1" applyFill="1" applyBorder="1" applyAlignment="1">
      <alignment horizontal="center" vertical="center" wrapText="1"/>
    </xf>
    <xf numFmtId="49" fontId="125" fillId="20" borderId="150" xfId="1" applyNumberFormat="1" applyFont="1" applyFill="1" applyBorder="1" applyAlignment="1" applyProtection="1">
      <alignment horizontal="center" vertical="center" wrapText="1"/>
      <protection locked="0"/>
    </xf>
    <xf numFmtId="0" fontId="125" fillId="20" borderId="263" xfId="1" applyFont="1" applyFill="1" applyBorder="1" applyAlignment="1" applyProtection="1">
      <alignment horizontal="left" vertical="center" wrapText="1"/>
      <protection locked="0"/>
    </xf>
    <xf numFmtId="3" fontId="125" fillId="20" borderId="287" xfId="0" applyNumberFormat="1" applyFont="1" applyFill="1" applyBorder="1" applyAlignment="1">
      <alignment horizontal="center" vertical="center" wrapText="1"/>
    </xf>
    <xf numFmtId="3" fontId="125" fillId="20" borderId="266" xfId="0" applyNumberFormat="1" applyFont="1" applyFill="1" applyBorder="1" applyAlignment="1">
      <alignment horizontal="center" vertical="center" wrapText="1"/>
    </xf>
    <xf numFmtId="3" fontId="125" fillId="20" borderId="267" xfId="0" applyNumberFormat="1" applyFont="1" applyFill="1" applyBorder="1" applyAlignment="1">
      <alignment horizontal="center" vertical="center" wrapText="1"/>
    </xf>
    <xf numFmtId="3" fontId="125" fillId="20" borderId="275" xfId="0" applyNumberFormat="1" applyFont="1" applyFill="1" applyBorder="1" applyAlignment="1">
      <alignment horizontal="center" vertical="center" wrapText="1"/>
    </xf>
    <xf numFmtId="3" fontId="125" fillId="20" borderId="273" xfId="0" applyNumberFormat="1" applyFont="1" applyFill="1" applyBorder="1" applyAlignment="1">
      <alignment horizontal="center" vertical="center" wrapText="1"/>
    </xf>
    <xf numFmtId="49" fontId="125" fillId="0" borderId="150" xfId="1" applyNumberFormat="1" applyFont="1" applyFill="1" applyBorder="1" applyAlignment="1" applyProtection="1">
      <alignment horizontal="center" vertical="center" wrapText="1"/>
      <protection locked="0"/>
    </xf>
    <xf numFmtId="0" fontId="125" fillId="0" borderId="263" xfId="1" applyFont="1" applyFill="1" applyBorder="1" applyAlignment="1" applyProtection="1">
      <alignment horizontal="left" vertical="center" wrapText="1"/>
      <protection locked="0"/>
    </xf>
    <xf numFmtId="3" fontId="125" fillId="0" borderId="287" xfId="0" applyNumberFormat="1" applyFont="1" applyFill="1" applyBorder="1" applyAlignment="1">
      <alignment horizontal="center" vertical="center" wrapText="1"/>
    </xf>
    <xf numFmtId="3" fontId="125" fillId="0" borderId="266" xfId="0" applyNumberFormat="1" applyFont="1" applyFill="1" applyBorder="1" applyAlignment="1">
      <alignment horizontal="center" vertical="center" wrapText="1"/>
    </xf>
    <xf numFmtId="3" fontId="125" fillId="0" borderId="267" xfId="0" applyNumberFormat="1" applyFont="1" applyFill="1" applyBorder="1" applyAlignment="1">
      <alignment horizontal="center" vertical="center" wrapText="1"/>
    </xf>
    <xf numFmtId="3" fontId="125" fillId="0" borderId="275" xfId="0" applyNumberFormat="1" applyFont="1" applyFill="1" applyBorder="1" applyAlignment="1">
      <alignment horizontal="center" vertical="center" wrapText="1"/>
    </xf>
    <xf numFmtId="3" fontId="125" fillId="3" borderId="273" xfId="0" applyNumberFormat="1" applyFont="1" applyFill="1" applyBorder="1" applyAlignment="1">
      <alignment horizontal="center" vertical="center" wrapText="1"/>
    </xf>
    <xf numFmtId="49" fontId="122" fillId="0" borderId="150" xfId="1" applyNumberFormat="1" applyFont="1" applyFill="1" applyBorder="1" applyAlignment="1" applyProtection="1">
      <alignment horizontal="center" vertical="center" wrapText="1"/>
      <protection locked="0"/>
    </xf>
    <xf numFmtId="0" fontId="122" fillId="0" borderId="263" xfId="1" applyFont="1" applyFill="1" applyBorder="1" applyAlignment="1" applyProtection="1">
      <alignment vertical="center" wrapText="1"/>
      <protection locked="0"/>
    </xf>
    <xf numFmtId="3" fontId="122" fillId="0" borderId="287" xfId="0" applyNumberFormat="1" applyFont="1" applyFill="1" applyBorder="1" applyAlignment="1">
      <alignment horizontal="center" vertical="center"/>
    </xf>
    <xf numFmtId="3" fontId="122" fillId="0" borderId="266" xfId="0" applyNumberFormat="1" applyFont="1" applyFill="1" applyBorder="1" applyAlignment="1">
      <alignment horizontal="center" vertical="center"/>
    </xf>
    <xf numFmtId="3" fontId="122" fillId="0" borderId="267" xfId="0" applyNumberFormat="1" applyFont="1" applyFill="1" applyBorder="1" applyAlignment="1">
      <alignment horizontal="center" vertical="center" wrapText="1"/>
    </xf>
    <xf numFmtId="3" fontId="122" fillId="0" borderId="275" xfId="0" applyNumberFormat="1" applyFont="1" applyFill="1" applyBorder="1" applyAlignment="1">
      <alignment horizontal="center" vertical="center" wrapText="1"/>
    </xf>
    <xf numFmtId="3" fontId="122" fillId="3" borderId="287" xfId="0" applyNumberFormat="1" applyFont="1" applyFill="1" applyBorder="1" applyAlignment="1">
      <alignment horizontal="center" vertical="center"/>
    </xf>
    <xf numFmtId="3" fontId="122" fillId="0" borderId="267" xfId="0" applyNumberFormat="1" applyFont="1" applyFill="1" applyBorder="1" applyAlignment="1">
      <alignment horizontal="center" vertical="center"/>
    </xf>
    <xf numFmtId="0" fontId="125" fillId="20" borderId="263" xfId="1" applyFont="1" applyFill="1" applyBorder="1" applyAlignment="1" applyProtection="1">
      <alignment vertical="center" wrapText="1"/>
      <protection locked="0"/>
    </xf>
    <xf numFmtId="3" fontId="122" fillId="20" borderId="273" xfId="0" applyNumberFormat="1" applyFont="1" applyFill="1" applyBorder="1" applyAlignment="1">
      <alignment horizontal="center" vertical="center" wrapText="1"/>
    </xf>
    <xf numFmtId="0" fontId="125" fillId="0" borderId="263" xfId="1" applyFont="1" applyFill="1" applyBorder="1" applyAlignment="1" applyProtection="1">
      <alignment vertical="center" wrapText="1"/>
      <protection locked="0"/>
    </xf>
    <xf numFmtId="3" fontId="125" fillId="0" borderId="287" xfId="0" applyNumberFormat="1" applyFont="1" applyFill="1" applyBorder="1" applyAlignment="1">
      <alignment horizontal="center" vertical="center"/>
    </xf>
    <xf numFmtId="3" fontId="125" fillId="0" borderId="266" xfId="0" applyNumberFormat="1" applyFont="1" applyFill="1" applyBorder="1" applyAlignment="1">
      <alignment horizontal="center" vertical="center"/>
    </xf>
    <xf numFmtId="3" fontId="125" fillId="0" borderId="267" xfId="0" applyNumberFormat="1" applyFont="1" applyFill="1" applyBorder="1" applyAlignment="1">
      <alignment horizontal="center" vertical="center"/>
    </xf>
    <xf numFmtId="3" fontId="125" fillId="0" borderId="275" xfId="0" applyNumberFormat="1" applyFont="1" applyFill="1" applyBorder="1" applyAlignment="1">
      <alignment horizontal="center" vertical="center"/>
    </xf>
    <xf numFmtId="49" fontId="122" fillId="0" borderId="150" xfId="3" applyNumberFormat="1" applyFont="1" applyFill="1" applyBorder="1" applyAlignment="1">
      <alignment horizontal="center" vertical="center" wrapText="1"/>
    </xf>
    <xf numFmtId="0" fontId="122" fillId="0" borderId="263" xfId="1" applyFont="1" applyFill="1" applyBorder="1" applyAlignment="1" applyProtection="1">
      <alignment horizontal="left" vertical="center" wrapText="1"/>
      <protection locked="0"/>
    </xf>
    <xf numFmtId="3" fontId="122" fillId="0" borderId="275" xfId="0" applyNumberFormat="1" applyFont="1" applyFill="1" applyBorder="1" applyAlignment="1">
      <alignment horizontal="center" vertical="center"/>
    </xf>
    <xf numFmtId="49" fontId="122" fillId="0" borderId="150" xfId="1" applyNumberFormat="1" applyFont="1" applyFill="1" applyBorder="1" applyAlignment="1">
      <alignment horizontal="center" vertical="center" wrapText="1"/>
    </xf>
    <xf numFmtId="3" fontId="122" fillId="0" borderId="266" xfId="0" applyNumberFormat="1" applyFont="1" applyFill="1" applyBorder="1" applyAlignment="1">
      <alignment horizontal="center" vertical="center" wrapText="1"/>
    </xf>
    <xf numFmtId="49" fontId="125" fillId="0" borderId="150" xfId="1" applyNumberFormat="1" applyFont="1" applyFill="1" applyBorder="1" applyAlignment="1">
      <alignment horizontal="center" vertical="center" wrapText="1"/>
    </xf>
    <xf numFmtId="49" fontId="125" fillId="3" borderId="150" xfId="1" applyNumberFormat="1" applyFont="1" applyFill="1" applyBorder="1" applyAlignment="1" applyProtection="1">
      <alignment horizontal="center" vertical="center" wrapText="1"/>
      <protection locked="0"/>
    </xf>
    <xf numFmtId="0" fontId="125" fillId="3" borderId="263" xfId="1" applyFont="1" applyFill="1" applyBorder="1" applyAlignment="1" applyProtection="1">
      <alignment vertical="center" wrapText="1"/>
      <protection locked="0"/>
    </xf>
    <xf numFmtId="3" fontId="125" fillId="3" borderId="287" xfId="0" applyNumberFormat="1" applyFont="1" applyFill="1" applyBorder="1" applyAlignment="1">
      <alignment horizontal="center" vertical="center"/>
    </xf>
    <xf numFmtId="3" fontId="125" fillId="3" borderId="266" xfId="0" applyNumberFormat="1" applyFont="1" applyFill="1" applyBorder="1" applyAlignment="1">
      <alignment horizontal="center" vertical="center"/>
    </xf>
    <xf numFmtId="3" fontId="125" fillId="3" borderId="267" xfId="0" applyNumberFormat="1" applyFont="1" applyFill="1" applyBorder="1" applyAlignment="1">
      <alignment horizontal="center" vertical="center"/>
    </xf>
    <xf numFmtId="3" fontId="125" fillId="3" borderId="275" xfId="0" applyNumberFormat="1" applyFont="1" applyFill="1" applyBorder="1" applyAlignment="1">
      <alignment horizontal="center" vertical="center" wrapText="1"/>
    </xf>
    <xf numFmtId="3" fontId="125" fillId="3" borderId="267" xfId="0" applyNumberFormat="1" applyFont="1" applyFill="1" applyBorder="1" applyAlignment="1">
      <alignment horizontal="center" vertical="center" wrapText="1"/>
    </xf>
    <xf numFmtId="3" fontId="122" fillId="0" borderId="287" xfId="0" applyNumberFormat="1" applyFont="1" applyFill="1" applyBorder="1" applyAlignment="1">
      <alignment horizontal="center" vertical="center" wrapText="1"/>
    </xf>
    <xf numFmtId="3" fontId="122" fillId="3" borderId="266" xfId="0" applyNumberFormat="1" applyFont="1" applyFill="1" applyBorder="1" applyAlignment="1">
      <alignment horizontal="center" vertical="center" wrapText="1"/>
    </xf>
    <xf numFmtId="3" fontId="122" fillId="3" borderId="266" xfId="0" applyNumberFormat="1" applyFont="1" applyFill="1" applyBorder="1" applyAlignment="1">
      <alignment horizontal="center"/>
    </xf>
    <xf numFmtId="49" fontId="122" fillId="3" borderId="150" xfId="1" applyNumberFormat="1" applyFont="1" applyFill="1" applyBorder="1" applyAlignment="1" applyProtection="1">
      <alignment horizontal="center" vertical="center" wrapText="1"/>
      <protection locked="0"/>
    </xf>
    <xf numFmtId="0" fontId="122" fillId="3" borderId="263" xfId="1" applyFont="1" applyFill="1" applyBorder="1" applyAlignment="1" applyProtection="1">
      <alignment vertical="center" wrapText="1"/>
      <protection locked="0"/>
    </xf>
    <xf numFmtId="3" fontId="122" fillId="3" borderId="267" xfId="0" applyNumberFormat="1" applyFont="1" applyFill="1" applyBorder="1" applyAlignment="1">
      <alignment horizontal="center" vertical="center" wrapText="1"/>
    </xf>
    <xf numFmtId="49" fontId="122" fillId="0" borderId="150" xfId="0" applyNumberFormat="1" applyFont="1" applyFill="1" applyBorder="1" applyAlignment="1">
      <alignment horizontal="center" vertical="center" wrapText="1"/>
    </xf>
    <xf numFmtId="0" fontId="122" fillId="0" borderId="263" xfId="3" applyFont="1" applyFill="1" applyBorder="1" applyAlignment="1">
      <alignment vertical="center" wrapText="1"/>
    </xf>
    <xf numFmtId="3" fontId="122" fillId="12" borderId="266" xfId="0" applyNumberFormat="1" applyFont="1" applyFill="1" applyBorder="1" applyAlignment="1">
      <alignment horizontal="center" vertical="center" wrapText="1"/>
    </xf>
    <xf numFmtId="49" fontId="122" fillId="20" borderId="150" xfId="1" applyNumberFormat="1" applyFont="1" applyFill="1" applyBorder="1" applyAlignment="1" applyProtection="1">
      <alignment horizontal="center" vertical="center" wrapText="1"/>
      <protection locked="0"/>
    </xf>
    <xf numFmtId="0" fontId="122" fillId="20" borderId="263" xfId="1" applyFont="1" applyFill="1" applyBorder="1" applyAlignment="1" applyProtection="1">
      <alignment vertical="center" wrapText="1"/>
      <protection locked="0"/>
    </xf>
    <xf numFmtId="3" fontId="122" fillId="20" borderId="287" xfId="0" applyNumberFormat="1" applyFont="1" applyFill="1" applyBorder="1" applyAlignment="1">
      <alignment horizontal="center" vertical="center"/>
    </xf>
    <xf numFmtId="3" fontId="122" fillId="20" borderId="266" xfId="0" applyNumberFormat="1" applyFont="1" applyFill="1" applyBorder="1" applyAlignment="1">
      <alignment horizontal="center" vertical="center"/>
    </xf>
    <xf numFmtId="3" fontId="122" fillId="20" borderId="267" xfId="0" applyNumberFormat="1" applyFont="1" applyFill="1" applyBorder="1" applyAlignment="1">
      <alignment horizontal="center" vertical="center" wrapText="1"/>
    </xf>
    <xf numFmtId="3" fontId="122" fillId="20" borderId="275" xfId="0" applyNumberFormat="1" applyFont="1" applyFill="1" applyBorder="1" applyAlignment="1">
      <alignment horizontal="center" vertical="center" wrapText="1"/>
    </xf>
    <xf numFmtId="3" fontId="125" fillId="3" borderId="287" xfId="0" applyNumberFormat="1" applyFont="1" applyFill="1" applyBorder="1" applyAlignment="1">
      <alignment horizontal="center" vertical="center" wrapText="1"/>
    </xf>
    <xf numFmtId="3" fontId="125" fillId="3" borderId="266" xfId="0" applyNumberFormat="1" applyFont="1" applyFill="1" applyBorder="1" applyAlignment="1">
      <alignment horizontal="center" vertical="center" wrapText="1"/>
    </xf>
    <xf numFmtId="3" fontId="122" fillId="3" borderId="267" xfId="0" applyNumberFormat="1" applyFont="1" applyFill="1" applyBorder="1" applyAlignment="1">
      <alignment horizontal="center" vertical="center"/>
    </xf>
    <xf numFmtId="0" fontId="122" fillId="0" borderId="150" xfId="0" applyFont="1" applyFill="1" applyBorder="1" applyAlignment="1">
      <alignment horizontal="center" vertical="center"/>
    </xf>
    <xf numFmtId="3" fontId="122" fillId="20" borderId="287" xfId="0" applyNumberFormat="1" applyFont="1" applyFill="1" applyBorder="1" applyAlignment="1">
      <alignment horizontal="center" vertical="center" wrapText="1"/>
    </xf>
    <xf numFmtId="3" fontId="122" fillId="20" borderId="266" xfId="0" applyNumberFormat="1" applyFont="1" applyFill="1" applyBorder="1" applyAlignment="1">
      <alignment horizontal="center" vertical="center" wrapText="1"/>
    </xf>
    <xf numFmtId="0" fontId="122" fillId="3" borderId="267" xfId="0" applyFont="1" applyFill="1" applyBorder="1"/>
    <xf numFmtId="49" fontId="122" fillId="0" borderId="306" xfId="1" applyNumberFormat="1" applyFont="1" applyFill="1" applyBorder="1" applyAlignment="1" applyProtection="1">
      <alignment horizontal="center" vertical="center" wrapText="1"/>
      <protection locked="0"/>
    </xf>
    <xf numFmtId="0" fontId="122" fillId="0" borderId="275" xfId="1" applyFont="1" applyFill="1" applyBorder="1" applyAlignment="1" applyProtection="1">
      <alignment vertical="center" wrapText="1"/>
      <protection locked="0"/>
    </xf>
    <xf numFmtId="49" fontId="125" fillId="20" borderId="306" xfId="1" applyNumberFormat="1" applyFont="1" applyFill="1" applyBorder="1" applyAlignment="1" applyProtection="1">
      <alignment horizontal="center" vertical="center" wrapText="1"/>
      <protection locked="0"/>
    </xf>
    <xf numFmtId="0" fontId="125" fillId="20" borderId="275" xfId="2" applyFont="1" applyFill="1" applyBorder="1" applyAlignment="1" applyProtection="1">
      <alignment vertical="center" wrapText="1"/>
      <protection locked="0"/>
    </xf>
    <xf numFmtId="3" fontId="125" fillId="20" borderId="287" xfId="0" applyNumberFormat="1" applyFont="1" applyFill="1" applyBorder="1" applyAlignment="1">
      <alignment horizontal="center" vertical="center"/>
    </xf>
    <xf numFmtId="3" fontId="125" fillId="20" borderId="266" xfId="0" applyNumberFormat="1" applyFont="1" applyFill="1" applyBorder="1" applyAlignment="1">
      <alignment horizontal="center" vertical="center"/>
    </xf>
    <xf numFmtId="3" fontId="125" fillId="20" borderId="264" xfId="0" applyNumberFormat="1" applyFont="1" applyFill="1" applyBorder="1" applyAlignment="1">
      <alignment horizontal="center" vertical="center"/>
    </xf>
    <xf numFmtId="3" fontId="125" fillId="20" borderId="267" xfId="0" applyNumberFormat="1" applyFont="1" applyFill="1" applyBorder="1" applyAlignment="1">
      <alignment horizontal="center" vertical="center"/>
    </xf>
    <xf numFmtId="49" fontId="122" fillId="20" borderId="319" xfId="1" applyNumberFormat="1" applyFont="1" applyFill="1" applyBorder="1" applyAlignment="1" applyProtection="1">
      <alignment horizontal="center" vertical="center" wrapText="1"/>
      <protection locked="0"/>
    </xf>
    <xf numFmtId="0" fontId="125" fillId="20" borderId="275" xfId="1" applyFont="1" applyFill="1" applyBorder="1" applyAlignment="1" applyProtection="1">
      <alignment vertical="center" wrapText="1"/>
      <protection locked="0"/>
    </xf>
    <xf numFmtId="3" fontId="125" fillId="20" borderId="264" xfId="0" applyNumberFormat="1" applyFont="1" applyFill="1" applyBorder="1" applyAlignment="1">
      <alignment horizontal="center" vertical="center" wrapText="1"/>
    </xf>
    <xf numFmtId="49" fontId="122" fillId="20" borderId="78" xfId="1" applyNumberFormat="1" applyFont="1" applyFill="1" applyBorder="1" applyAlignment="1" applyProtection="1">
      <alignment horizontal="center" vertical="center" wrapText="1"/>
      <protection locked="0"/>
    </xf>
    <xf numFmtId="0" fontId="122" fillId="20" borderId="287" xfId="0" applyFont="1" applyFill="1" applyBorder="1"/>
    <xf numFmtId="3" fontId="122" fillId="20" borderId="266" xfId="0" applyNumberFormat="1" applyFont="1" applyFill="1" applyBorder="1"/>
    <xf numFmtId="0" fontId="122" fillId="20" borderId="264" xfId="0" applyFont="1" applyFill="1" applyBorder="1"/>
    <xf numFmtId="0" fontId="122" fillId="20" borderId="275" xfId="0" applyFont="1" applyFill="1" applyBorder="1"/>
    <xf numFmtId="0" fontId="122" fillId="20" borderId="267" xfId="0" applyFont="1" applyFill="1" applyBorder="1"/>
    <xf numFmtId="49" fontId="125" fillId="20" borderId="304" xfId="1" applyNumberFormat="1" applyFont="1" applyFill="1" applyBorder="1" applyAlignment="1" applyProtection="1">
      <alignment horizontal="center" vertical="center" wrapText="1"/>
      <protection locked="0"/>
    </xf>
    <xf numFmtId="3" fontId="122" fillId="20" borderId="287" xfId="0" applyNumberFormat="1" applyFont="1" applyFill="1" applyBorder="1"/>
    <xf numFmtId="0" fontId="122" fillId="20" borderId="306" xfId="0" applyFont="1" applyFill="1" applyBorder="1" applyAlignment="1">
      <alignment horizontal="center" vertical="center"/>
    </xf>
    <xf numFmtId="0" fontId="125" fillId="20" borderId="275" xfId="0" applyFont="1" applyFill="1" applyBorder="1" applyAlignment="1">
      <alignment vertical="center" wrapText="1"/>
    </xf>
    <xf numFmtId="0" fontId="121" fillId="20" borderId="287" xfId="0" applyFont="1" applyFill="1" applyBorder="1"/>
    <xf numFmtId="3" fontId="122" fillId="20" borderId="264" xfId="0" applyNumberFormat="1" applyFont="1" applyFill="1" applyBorder="1"/>
    <xf numFmtId="3" fontId="122" fillId="20" borderId="275" xfId="0" applyNumberFormat="1" applyFont="1" applyFill="1" applyBorder="1"/>
    <xf numFmtId="3" fontId="122" fillId="20" borderId="267" xfId="0" applyNumberFormat="1" applyFont="1" applyFill="1" applyBorder="1"/>
    <xf numFmtId="0" fontId="122" fillId="20" borderId="319" xfId="0" applyFont="1" applyFill="1" applyBorder="1" applyAlignment="1">
      <alignment horizontal="center" vertical="center"/>
    </xf>
    <xf numFmtId="0" fontId="125" fillId="20" borderId="315" xfId="0" applyFont="1" applyFill="1" applyBorder="1" applyAlignment="1">
      <alignment vertical="center" wrapText="1"/>
    </xf>
    <xf numFmtId="3" fontId="122" fillId="20" borderId="312" xfId="0" applyNumberFormat="1" applyFont="1" applyFill="1" applyBorder="1"/>
    <xf numFmtId="3" fontId="122" fillId="20" borderId="310" xfId="0" applyNumberFormat="1" applyFont="1" applyFill="1" applyBorder="1"/>
    <xf numFmtId="3" fontId="122" fillId="20" borderId="311" xfId="0" applyNumberFormat="1" applyFont="1" applyFill="1" applyBorder="1"/>
    <xf numFmtId="3" fontId="122" fillId="20" borderId="315" xfId="0" applyNumberFormat="1" applyFont="1" applyFill="1" applyBorder="1"/>
    <xf numFmtId="3" fontId="124" fillId="20" borderId="312" xfId="0" applyNumberFormat="1" applyFont="1" applyFill="1" applyBorder="1"/>
    <xf numFmtId="3" fontId="124" fillId="20" borderId="310" xfId="0" applyNumberFormat="1" applyFont="1" applyFill="1" applyBorder="1"/>
    <xf numFmtId="3" fontId="124" fillId="20" borderId="313" xfId="0" applyNumberFormat="1" applyFont="1" applyFill="1" applyBorder="1"/>
    <xf numFmtId="3" fontId="124" fillId="20" borderId="315" xfId="0" applyNumberFormat="1" applyFont="1" applyFill="1" applyBorder="1"/>
    <xf numFmtId="3" fontId="125" fillId="20" borderId="32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121" fillId="0" borderId="0" xfId="0" applyFont="1" applyAlignment="1">
      <alignment horizontal="center" vertical="center"/>
    </xf>
    <xf numFmtId="3" fontId="118" fillId="6" borderId="161" xfId="0" applyNumberFormat="1" applyFont="1" applyFill="1" applyBorder="1" applyAlignment="1" applyProtection="1">
      <alignment horizontal="center" vertical="center" wrapText="1"/>
      <protection locked="0"/>
    </xf>
    <xf numFmtId="3" fontId="118" fillId="6" borderId="151" xfId="0" applyNumberFormat="1" applyFont="1" applyFill="1" applyBorder="1" applyAlignment="1" applyProtection="1">
      <alignment horizontal="center" vertical="center" wrapText="1"/>
      <protection locked="0"/>
    </xf>
    <xf numFmtId="3" fontId="118" fillId="6" borderId="153" xfId="0" applyNumberFormat="1" applyFont="1" applyFill="1" applyBorder="1" applyAlignment="1" applyProtection="1">
      <alignment horizontal="center" vertical="center" wrapText="1"/>
      <protection locked="0"/>
    </xf>
    <xf numFmtId="3" fontId="118" fillId="2" borderId="189" xfId="0" applyNumberFormat="1" applyFont="1" applyFill="1" applyBorder="1" applyAlignment="1">
      <alignment horizontal="center" vertical="center"/>
    </xf>
    <xf numFmtId="3" fontId="118" fillId="6" borderId="128" xfId="0" applyNumberFormat="1" applyFont="1" applyFill="1" applyBorder="1" applyAlignment="1" applyProtection="1">
      <alignment horizontal="center" vertical="center" wrapText="1"/>
      <protection locked="0"/>
    </xf>
    <xf numFmtId="3" fontId="118" fillId="2" borderId="171" xfId="0" applyNumberFormat="1" applyFont="1" applyFill="1" applyBorder="1" applyAlignment="1">
      <alignment horizontal="center" vertical="center"/>
    </xf>
    <xf numFmtId="3" fontId="118" fillId="6" borderId="63" xfId="0" applyNumberFormat="1" applyFont="1" applyFill="1" applyBorder="1" applyAlignment="1" applyProtection="1">
      <alignment horizontal="center" vertical="center" wrapText="1"/>
      <protection locked="0"/>
    </xf>
    <xf numFmtId="3" fontId="118" fillId="6" borderId="60" xfId="0" applyNumberFormat="1" applyFont="1" applyFill="1" applyBorder="1" applyAlignment="1" applyProtection="1">
      <alignment horizontal="center" vertical="center" wrapText="1"/>
      <protection locked="0"/>
    </xf>
    <xf numFmtId="3" fontId="118" fillId="6" borderId="62" xfId="0" applyNumberFormat="1" applyFont="1" applyFill="1" applyBorder="1" applyAlignment="1" applyProtection="1">
      <alignment horizontal="center" vertical="center" wrapText="1"/>
      <protection locked="0"/>
    </xf>
    <xf numFmtId="3" fontId="118" fillId="2" borderId="47" xfId="0" applyNumberFormat="1" applyFont="1" applyFill="1" applyBorder="1" applyAlignment="1">
      <alignment horizontal="center" vertical="center"/>
    </xf>
    <xf numFmtId="49" fontId="119" fillId="2" borderId="131" xfId="2" applyNumberFormat="1" applyFont="1" applyFill="1" applyBorder="1" applyAlignment="1">
      <alignment horizontal="center" vertical="center" wrapText="1"/>
    </xf>
    <xf numFmtId="3" fontId="119" fillId="5" borderId="151" xfId="2" applyNumberFormat="1" applyFont="1" applyFill="1" applyBorder="1" applyAlignment="1">
      <alignment horizontal="center" vertical="center" wrapText="1"/>
    </xf>
    <xf numFmtId="3" fontId="119" fillId="5" borderId="153" xfId="2" applyNumberFormat="1" applyFont="1" applyFill="1" applyBorder="1" applyAlignment="1">
      <alignment horizontal="center" vertical="center" wrapText="1"/>
    </xf>
    <xf numFmtId="3" fontId="119" fillId="5" borderId="128" xfId="2" applyNumberFormat="1" applyFont="1" applyFill="1" applyBorder="1" applyAlignment="1">
      <alignment horizontal="center" vertical="center" wrapText="1"/>
    </xf>
    <xf numFmtId="49" fontId="118" fillId="5" borderId="151" xfId="1" applyNumberFormat="1" applyFont="1" applyFill="1" applyBorder="1" applyAlignment="1" applyProtection="1">
      <alignment horizontal="center" vertical="center" wrapText="1"/>
      <protection locked="0"/>
    </xf>
    <xf numFmtId="0" fontId="118" fillId="5" borderId="152" xfId="1" applyNumberFormat="1" applyFont="1" applyFill="1" applyBorder="1" applyAlignment="1" applyProtection="1">
      <alignment horizontal="left" vertical="center" wrapText="1"/>
      <protection locked="0"/>
    </xf>
    <xf numFmtId="3" fontId="118" fillId="2" borderId="161" xfId="0" applyNumberFormat="1" applyFont="1" applyFill="1" applyBorder="1" applyAlignment="1">
      <alignment horizontal="center" vertical="center" wrapText="1"/>
    </xf>
    <xf numFmtId="3" fontId="118" fillId="2" borderId="151" xfId="0" applyNumberFormat="1" applyFont="1" applyFill="1" applyBorder="1" applyAlignment="1">
      <alignment horizontal="center" vertical="center" wrapText="1"/>
    </xf>
    <xf numFmtId="3" fontId="118" fillId="2" borderId="153" xfId="0" applyNumberFormat="1" applyFont="1" applyFill="1" applyBorder="1" applyAlignment="1">
      <alignment horizontal="center" vertical="center" wrapText="1"/>
    </xf>
    <xf numFmtId="3" fontId="118" fillId="2" borderId="189" xfId="0" applyNumberFormat="1" applyFont="1" applyFill="1" applyBorder="1" applyAlignment="1">
      <alignment horizontal="center" vertical="center" wrapText="1"/>
    </xf>
    <xf numFmtId="3" fontId="118" fillId="2" borderId="128" xfId="0" applyNumberFormat="1" applyFont="1" applyFill="1" applyBorder="1" applyAlignment="1">
      <alignment horizontal="center" vertical="center" wrapText="1"/>
    </xf>
    <xf numFmtId="3" fontId="118" fillId="2" borderId="171" xfId="0" applyNumberFormat="1" applyFont="1" applyFill="1" applyBorder="1" applyAlignment="1">
      <alignment horizontal="center" vertical="center" wrapText="1"/>
    </xf>
    <xf numFmtId="3" fontId="118" fillId="2" borderId="2" xfId="0" applyNumberFormat="1" applyFont="1" applyFill="1" applyBorder="1" applyAlignment="1">
      <alignment horizontal="center" vertical="center" wrapText="1"/>
    </xf>
    <xf numFmtId="3" fontId="121" fillId="2" borderId="235" xfId="0" applyNumberFormat="1" applyFont="1" applyFill="1" applyBorder="1" applyAlignment="1">
      <alignment horizontal="center" vertical="center"/>
    </xf>
    <xf numFmtId="49" fontId="119" fillId="0" borderId="131" xfId="2" applyNumberFormat="1" applyFont="1" applyBorder="1" applyAlignment="1">
      <alignment horizontal="center" vertical="center" wrapText="1"/>
    </xf>
    <xf numFmtId="49" fontId="118" fillId="4" borderId="151" xfId="1" applyNumberFormat="1" applyFont="1" applyFill="1" applyBorder="1" applyAlignment="1" applyProtection="1">
      <alignment horizontal="center" vertical="center" wrapText="1"/>
      <protection locked="0"/>
    </xf>
    <xf numFmtId="0" fontId="118" fillId="4" borderId="152" xfId="1" applyNumberFormat="1" applyFont="1" applyFill="1" applyBorder="1" applyAlignment="1" applyProtection="1">
      <alignment horizontal="left" vertical="center" wrapText="1"/>
      <protection locked="0"/>
    </xf>
    <xf numFmtId="3" fontId="118" fillId="3" borderId="161" xfId="0" applyNumberFormat="1" applyFont="1" applyFill="1" applyBorder="1" applyAlignment="1">
      <alignment horizontal="center" vertical="center" wrapText="1"/>
    </xf>
    <xf numFmtId="3" fontId="118" fillId="3" borderId="128" xfId="0" applyNumberFormat="1" applyFont="1" applyFill="1" applyBorder="1" applyAlignment="1">
      <alignment horizontal="center" vertical="center" wrapText="1"/>
    </xf>
    <xf numFmtId="3" fontId="118" fillId="3" borderId="151" xfId="0" applyNumberFormat="1" applyFont="1" applyFill="1" applyBorder="1" applyAlignment="1">
      <alignment horizontal="center" vertical="center" wrapText="1"/>
    </xf>
    <xf numFmtId="3" fontId="118" fillId="3" borderId="153" xfId="0" applyNumberFormat="1" applyFont="1" applyFill="1" applyBorder="1" applyAlignment="1">
      <alignment horizontal="center" vertical="center" wrapText="1"/>
    </xf>
    <xf numFmtId="3" fontId="118" fillId="3" borderId="189" xfId="0" applyNumberFormat="1" applyFont="1" applyFill="1" applyBorder="1" applyAlignment="1">
      <alignment horizontal="center" vertical="center" wrapText="1"/>
    </xf>
    <xf numFmtId="3" fontId="118" fillId="3" borderId="171" xfId="0" applyNumberFormat="1" applyFont="1" applyFill="1" applyBorder="1" applyAlignment="1">
      <alignment horizontal="center" vertical="center" wrapText="1"/>
    </xf>
    <xf numFmtId="3" fontId="118" fillId="3" borderId="2" xfId="0" applyNumberFormat="1" applyFont="1" applyFill="1" applyBorder="1" applyAlignment="1">
      <alignment horizontal="center" vertical="center" wrapText="1"/>
    </xf>
    <xf numFmtId="3" fontId="121" fillId="0" borderId="235" xfId="0" applyNumberFormat="1" applyFont="1" applyBorder="1" applyAlignment="1">
      <alignment horizontal="center" vertical="center"/>
    </xf>
    <xf numFmtId="49" fontId="118" fillId="4" borderId="131" xfId="2" applyNumberFormat="1" applyFont="1" applyFill="1" applyBorder="1" applyAlignment="1">
      <alignment horizontal="center" vertical="center" wrapText="1"/>
    </xf>
    <xf numFmtId="3" fontId="118" fillId="3" borderId="161" xfId="0" applyNumberFormat="1" applyFont="1" applyFill="1" applyBorder="1" applyAlignment="1">
      <alignment horizontal="center" vertical="center"/>
    </xf>
    <xf numFmtId="3" fontId="118" fillId="3" borderId="128" xfId="0" applyNumberFormat="1" applyFont="1" applyFill="1" applyBorder="1" applyAlignment="1">
      <alignment horizontal="center" vertical="center"/>
    </xf>
    <xf numFmtId="3" fontId="118" fillId="3" borderId="151" xfId="0" applyNumberFormat="1" applyFont="1" applyFill="1" applyBorder="1" applyAlignment="1">
      <alignment horizontal="center" vertical="center"/>
    </xf>
    <xf numFmtId="3" fontId="118" fillId="3" borderId="153" xfId="0" applyNumberFormat="1" applyFont="1" applyFill="1" applyBorder="1" applyAlignment="1">
      <alignment horizontal="center" vertical="center"/>
    </xf>
    <xf numFmtId="49" fontId="119" fillId="4" borderId="131" xfId="2" applyNumberFormat="1" applyFont="1" applyFill="1" applyBorder="1" applyAlignment="1">
      <alignment horizontal="center" vertical="center" wrapText="1"/>
    </xf>
    <xf numFmtId="49" fontId="119" fillId="4" borderId="151" xfId="1" applyNumberFormat="1" applyFont="1" applyFill="1" applyBorder="1" applyAlignment="1" applyProtection="1">
      <alignment horizontal="center" vertical="center" wrapText="1"/>
      <protection locked="0"/>
    </xf>
    <xf numFmtId="0" fontId="119" fillId="4" borderId="152" xfId="1" applyNumberFormat="1" applyFont="1" applyFill="1" applyBorder="1" applyAlignment="1" applyProtection="1">
      <alignment horizontal="left" vertical="center" wrapText="1"/>
      <protection locked="0"/>
    </xf>
    <xf numFmtId="3" fontId="119" fillId="3" borderId="161" xfId="0" applyNumberFormat="1" applyFont="1" applyFill="1" applyBorder="1" applyAlignment="1">
      <alignment horizontal="center" vertical="center"/>
    </xf>
    <xf numFmtId="3" fontId="119" fillId="3" borderId="151" xfId="0" applyNumberFormat="1" applyFont="1" applyFill="1" applyBorder="1" applyAlignment="1">
      <alignment horizontal="center" vertical="center"/>
    </xf>
    <xf numFmtId="3" fontId="119" fillId="3" borderId="153" xfId="0" applyNumberFormat="1" applyFont="1" applyFill="1" applyBorder="1" applyAlignment="1">
      <alignment horizontal="center" vertical="center" wrapText="1"/>
    </xf>
    <xf numFmtId="3" fontId="119" fillId="3" borderId="189" xfId="0" applyNumberFormat="1" applyFont="1" applyFill="1" applyBorder="1" applyAlignment="1">
      <alignment horizontal="center" vertical="center" wrapText="1"/>
    </xf>
    <xf numFmtId="3" fontId="119" fillId="3" borderId="128" xfId="0" applyNumberFormat="1" applyFont="1" applyFill="1" applyBorder="1" applyAlignment="1">
      <alignment horizontal="center" vertical="center"/>
    </xf>
    <xf numFmtId="3" fontId="119" fillId="3" borderId="171" xfId="0" applyNumberFormat="1" applyFont="1" applyFill="1" applyBorder="1" applyAlignment="1">
      <alignment horizontal="center" vertical="center" wrapText="1"/>
    </xf>
    <xf numFmtId="3" fontId="119" fillId="3" borderId="153" xfId="0" applyNumberFormat="1" applyFont="1" applyFill="1" applyBorder="1" applyAlignment="1">
      <alignment horizontal="center" vertical="center"/>
    </xf>
    <xf numFmtId="3" fontId="119" fillId="3" borderId="2" xfId="0" applyNumberFormat="1" applyFont="1" applyFill="1" applyBorder="1" applyAlignment="1">
      <alignment horizontal="center" vertical="center" wrapText="1"/>
    </xf>
    <xf numFmtId="3" fontId="119" fillId="3" borderId="265" xfId="0" applyNumberFormat="1" applyFont="1" applyFill="1" applyBorder="1" applyAlignment="1">
      <alignment horizontal="center" vertical="center"/>
    </xf>
    <xf numFmtId="3" fontId="176" fillId="0" borderId="161" xfId="0" applyNumberFormat="1" applyFont="1" applyBorder="1" applyAlignment="1">
      <alignment horizontal="right"/>
    </xf>
    <xf numFmtId="3" fontId="176" fillId="0" borderId="128" xfId="0" applyNumberFormat="1" applyFont="1" applyBorder="1" applyAlignment="1">
      <alignment horizontal="right"/>
    </xf>
    <xf numFmtId="3" fontId="119" fillId="0" borderId="161" xfId="0" applyNumberFormat="1" applyFont="1" applyBorder="1" applyAlignment="1">
      <alignment horizontal="center" vertical="center"/>
    </xf>
    <xf numFmtId="3" fontId="119" fillId="0" borderId="128" xfId="0" applyNumberFormat="1" applyFont="1" applyBorder="1" applyAlignment="1">
      <alignment horizontal="center" vertical="center"/>
    </xf>
    <xf numFmtId="3" fontId="119" fillId="0" borderId="128" xfId="0" applyNumberFormat="1" applyFont="1" applyFill="1" applyBorder="1" applyAlignment="1">
      <alignment horizontal="center" vertical="center"/>
    </xf>
    <xf numFmtId="3" fontId="118" fillId="0" borderId="161" xfId="0" applyNumberFormat="1" applyFont="1" applyBorder="1" applyAlignment="1">
      <alignment horizontal="center" vertical="center"/>
    </xf>
    <xf numFmtId="3" fontId="118" fillId="0" borderId="128" xfId="0" applyNumberFormat="1" applyFont="1" applyBorder="1" applyAlignment="1">
      <alignment horizontal="center" vertical="center"/>
    </xf>
    <xf numFmtId="3" fontId="118" fillId="0" borderId="128" xfId="0" applyNumberFormat="1" applyFont="1" applyFill="1" applyBorder="1" applyAlignment="1">
      <alignment horizontal="center" vertical="center"/>
    </xf>
    <xf numFmtId="166" fontId="126" fillId="0" borderId="0" xfId="0" applyNumberFormat="1" applyFont="1" applyAlignment="1">
      <alignment horizontal="right"/>
    </xf>
    <xf numFmtId="3" fontId="126" fillId="0" borderId="0" xfId="0" applyNumberFormat="1" applyFont="1" applyAlignment="1">
      <alignment horizontal="right"/>
    </xf>
    <xf numFmtId="3" fontId="119" fillId="26" borderId="151" xfId="0" applyNumberFormat="1" applyFont="1" applyFill="1" applyBorder="1" applyAlignment="1">
      <alignment horizontal="center" vertical="center"/>
    </xf>
    <xf numFmtId="49" fontId="177" fillId="3" borderId="131" xfId="2" applyNumberFormat="1" applyFont="1" applyFill="1" applyBorder="1" applyAlignment="1">
      <alignment horizontal="center" vertical="center" wrapText="1"/>
    </xf>
    <xf numFmtId="49" fontId="177" fillId="3" borderId="151" xfId="1" applyNumberFormat="1" applyFont="1" applyFill="1" applyBorder="1" applyAlignment="1" applyProtection="1">
      <alignment horizontal="center" vertical="center" wrapText="1"/>
      <protection locked="0"/>
    </xf>
    <xf numFmtId="0" fontId="177" fillId="3" borderId="152" xfId="1" applyNumberFormat="1" applyFont="1" applyFill="1" applyBorder="1" applyAlignment="1" applyProtection="1">
      <alignment horizontal="left" vertical="center" wrapText="1"/>
      <protection locked="0"/>
    </xf>
    <xf numFmtId="3" fontId="177" fillId="3" borderId="161" xfId="0" applyNumberFormat="1" applyFont="1" applyFill="1" applyBorder="1" applyAlignment="1">
      <alignment horizontal="center" vertical="center"/>
    </xf>
    <xf numFmtId="3" fontId="177" fillId="3" borderId="151" xfId="0" applyNumberFormat="1" applyFont="1" applyFill="1" applyBorder="1" applyAlignment="1">
      <alignment horizontal="center" vertical="center"/>
    </xf>
    <xf numFmtId="3" fontId="177" fillId="3" borderId="153" xfId="0" applyNumberFormat="1" applyFont="1" applyFill="1" applyBorder="1" applyAlignment="1">
      <alignment horizontal="center" vertical="center" wrapText="1"/>
    </xf>
    <xf numFmtId="3" fontId="177" fillId="3" borderId="128" xfId="0" applyNumberFormat="1" applyFont="1" applyFill="1" applyBorder="1" applyAlignment="1">
      <alignment horizontal="center" vertical="center"/>
    </xf>
    <xf numFmtId="3" fontId="177" fillId="3" borderId="153" xfId="0" applyNumberFormat="1" applyFont="1" applyFill="1" applyBorder="1" applyAlignment="1">
      <alignment horizontal="center" vertical="center"/>
    </xf>
    <xf numFmtId="3" fontId="177" fillId="3" borderId="265" xfId="0" applyNumberFormat="1" applyFont="1" applyFill="1" applyBorder="1" applyAlignment="1">
      <alignment horizontal="center" vertical="center"/>
    </xf>
    <xf numFmtId="3" fontId="118" fillId="3" borderId="189" xfId="0" applyNumberFormat="1" applyFont="1" applyFill="1" applyBorder="1" applyAlignment="1">
      <alignment horizontal="center" vertical="center"/>
    </xf>
    <xf numFmtId="3" fontId="118" fillId="3" borderId="171" xfId="0" applyNumberFormat="1" applyFont="1" applyFill="1" applyBorder="1" applyAlignment="1">
      <alignment horizontal="center" vertical="center"/>
    </xf>
    <xf numFmtId="3" fontId="118" fillId="3" borderId="2" xfId="0" applyNumberFormat="1" applyFont="1" applyFill="1" applyBorder="1" applyAlignment="1">
      <alignment horizontal="center" vertical="center"/>
    </xf>
    <xf numFmtId="49" fontId="119" fillId="7" borderId="151" xfId="1" applyNumberFormat="1" applyFont="1" applyFill="1" applyBorder="1" applyAlignment="1" applyProtection="1">
      <alignment horizontal="center" vertical="center" wrapText="1"/>
      <protection locked="0"/>
    </xf>
    <xf numFmtId="0" fontId="119" fillId="7" borderId="152" xfId="1" applyNumberFormat="1" applyFont="1" applyFill="1" applyBorder="1" applyAlignment="1" applyProtection="1">
      <alignment horizontal="left" vertical="center" wrapText="1"/>
      <protection locked="0"/>
    </xf>
    <xf numFmtId="3" fontId="119" fillId="3" borderId="161" xfId="0" applyNumberFormat="1" applyFont="1" applyFill="1" applyBorder="1" applyAlignment="1">
      <alignment horizontal="center" vertical="center" wrapText="1"/>
    </xf>
    <xf numFmtId="3" fontId="119" fillId="3" borderId="128" xfId="0" applyNumberFormat="1" applyFont="1" applyFill="1" applyBorder="1" applyAlignment="1">
      <alignment horizontal="center" vertical="center" wrapText="1"/>
    </xf>
    <xf numFmtId="49" fontId="119" fillId="7" borderId="151" xfId="3" applyNumberFormat="1" applyFont="1" applyFill="1" applyBorder="1" applyAlignment="1">
      <alignment horizontal="center" vertical="center" wrapText="1"/>
    </xf>
    <xf numFmtId="0" fontId="118" fillId="7" borderId="152" xfId="1" applyNumberFormat="1" applyFont="1" applyFill="1" applyBorder="1" applyAlignment="1" applyProtection="1">
      <alignment horizontal="left" vertical="center" wrapText="1"/>
      <protection locked="0"/>
    </xf>
    <xf numFmtId="49" fontId="118" fillId="0" borderId="131" xfId="2" applyNumberFormat="1" applyFont="1" applyBorder="1" applyAlignment="1">
      <alignment horizontal="center" vertical="center" wrapText="1"/>
    </xf>
    <xf numFmtId="3" fontId="119" fillId="12" borderId="151" xfId="0" applyNumberFormat="1" applyFont="1" applyFill="1" applyBorder="1" applyAlignment="1">
      <alignment horizontal="center" vertical="center"/>
    </xf>
    <xf numFmtId="49" fontId="118" fillId="4" borderId="151" xfId="1" applyNumberFormat="1" applyFont="1" applyFill="1" applyBorder="1" applyAlignment="1">
      <alignment horizontal="center" vertical="center" wrapText="1"/>
    </xf>
    <xf numFmtId="3" fontId="105" fillId="3" borderId="161" xfId="0" applyNumberFormat="1" applyFont="1" applyFill="1" applyBorder="1" applyAlignment="1">
      <alignment horizontal="center" vertical="center"/>
    </xf>
    <xf numFmtId="3" fontId="105" fillId="3" borderId="151" xfId="0" applyNumberFormat="1" applyFont="1" applyFill="1" applyBorder="1" applyAlignment="1">
      <alignment horizontal="center" vertical="center"/>
    </xf>
    <xf numFmtId="3" fontId="105" fillId="3" borderId="153" xfId="0" applyNumberFormat="1" applyFont="1" applyFill="1" applyBorder="1" applyAlignment="1">
      <alignment horizontal="center" vertical="center"/>
    </xf>
    <xf numFmtId="3" fontId="105" fillId="3" borderId="128" xfId="0" applyNumberFormat="1" applyFont="1" applyFill="1" applyBorder="1" applyAlignment="1">
      <alignment horizontal="center" vertical="center"/>
    </xf>
    <xf numFmtId="3" fontId="134" fillId="3" borderId="161" xfId="0" applyNumberFormat="1" applyFont="1" applyFill="1" applyBorder="1" applyAlignment="1">
      <alignment horizontal="center" vertical="center"/>
    </xf>
    <xf numFmtId="3" fontId="123" fillId="3" borderId="153" xfId="0" applyNumberFormat="1" applyFont="1" applyFill="1" applyBorder="1" applyAlignment="1">
      <alignment horizontal="center" vertical="center" wrapText="1"/>
    </xf>
    <xf numFmtId="3" fontId="134" fillId="3" borderId="128" xfId="0" applyNumberFormat="1" applyFont="1" applyFill="1" applyBorder="1" applyAlignment="1">
      <alignment horizontal="center" vertical="center"/>
    </xf>
    <xf numFmtId="3" fontId="123" fillId="3" borderId="161" xfId="0" applyNumberFormat="1" applyFont="1" applyFill="1" applyBorder="1" applyAlignment="1">
      <alignment horizontal="center" vertical="center"/>
    </xf>
    <xf numFmtId="3" fontId="123" fillId="3" borderId="128" xfId="0" applyNumberFormat="1" applyFont="1" applyFill="1" applyBorder="1" applyAlignment="1">
      <alignment horizontal="center" vertical="center"/>
    </xf>
    <xf numFmtId="49" fontId="118" fillId="7" borderId="151" xfId="1" applyNumberFormat="1" applyFont="1" applyFill="1" applyBorder="1" applyAlignment="1" applyProtection="1">
      <alignment horizontal="center" vertical="center" wrapText="1"/>
      <protection locked="0"/>
    </xf>
    <xf numFmtId="3" fontId="125" fillId="3" borderId="128" xfId="0" applyNumberFormat="1" applyFont="1" applyFill="1" applyBorder="1" applyAlignment="1">
      <alignment horizontal="center" vertical="center"/>
    </xf>
    <xf numFmtId="3" fontId="125" fillId="3" borderId="151" xfId="0" applyNumberFormat="1" applyFont="1" applyFill="1" applyBorder="1" applyAlignment="1">
      <alignment horizontal="center" vertical="center"/>
    </xf>
    <xf numFmtId="3" fontId="118" fillId="3" borderId="265" xfId="0" applyNumberFormat="1" applyFont="1" applyFill="1" applyBorder="1" applyAlignment="1">
      <alignment horizontal="center" vertical="center"/>
    </xf>
    <xf numFmtId="3" fontId="118" fillId="26" borderId="189" xfId="0" applyNumberFormat="1" applyFont="1" applyFill="1" applyBorder="1" applyAlignment="1">
      <alignment horizontal="center" vertical="center" wrapText="1"/>
    </xf>
    <xf numFmtId="3" fontId="118" fillId="26" borderId="171" xfId="0" applyNumberFormat="1" applyFont="1" applyFill="1" applyBorder="1" applyAlignment="1">
      <alignment horizontal="center" vertical="center" wrapText="1"/>
    </xf>
    <xf numFmtId="3" fontId="125" fillId="3" borderId="153" xfId="0" applyNumberFormat="1" applyFont="1" applyFill="1" applyBorder="1" applyAlignment="1">
      <alignment horizontal="center" vertical="center"/>
    </xf>
    <xf numFmtId="3" fontId="125" fillId="3" borderId="2" xfId="0" applyNumberFormat="1" applyFont="1" applyFill="1" applyBorder="1" applyAlignment="1">
      <alignment horizontal="center" vertical="center" wrapText="1"/>
    </xf>
    <xf numFmtId="49" fontId="123" fillId="0" borderId="131" xfId="2" applyNumberFormat="1" applyFont="1" applyBorder="1" applyAlignment="1">
      <alignment horizontal="center" vertical="center" wrapText="1"/>
    </xf>
    <xf numFmtId="49" fontId="123" fillId="7" borderId="151" xfId="1" applyNumberFormat="1" applyFont="1" applyFill="1" applyBorder="1" applyAlignment="1" applyProtection="1">
      <alignment horizontal="center" vertical="center" wrapText="1"/>
      <protection locked="0"/>
    </xf>
    <xf numFmtId="0" fontId="123" fillId="7" borderId="152" xfId="1" applyNumberFormat="1" applyFont="1" applyFill="1" applyBorder="1" applyAlignment="1" applyProtection="1">
      <alignment horizontal="left" vertical="center" wrapText="1"/>
      <protection locked="0"/>
    </xf>
    <xf numFmtId="3" fontId="123" fillId="3" borderId="151" xfId="0" applyNumberFormat="1" applyFont="1" applyFill="1" applyBorder="1" applyAlignment="1">
      <alignment horizontal="center" vertical="center"/>
    </xf>
    <xf numFmtId="3" fontId="123" fillId="3" borderId="153" xfId="0" applyNumberFormat="1" applyFont="1" applyFill="1" applyBorder="1" applyAlignment="1">
      <alignment horizontal="center" vertical="center"/>
    </xf>
    <xf numFmtId="3" fontId="105" fillId="27" borderId="151" xfId="0" applyNumberFormat="1" applyFont="1" applyFill="1" applyBorder="1" applyAlignment="1">
      <alignment horizontal="center" vertical="center"/>
    </xf>
    <xf numFmtId="3" fontId="176" fillId="3" borderId="151" xfId="0" applyNumberFormat="1" applyFont="1" applyFill="1" applyBorder="1" applyAlignment="1">
      <alignment horizontal="center"/>
    </xf>
    <xf numFmtId="3" fontId="176" fillId="3" borderId="153" xfId="0" applyNumberFormat="1" applyFont="1" applyFill="1" applyBorder="1" applyAlignment="1">
      <alignment horizontal="center"/>
    </xf>
    <xf numFmtId="49" fontId="118" fillId="0" borderId="131" xfId="2" applyNumberFormat="1" applyFont="1" applyFill="1" applyBorder="1" applyAlignment="1">
      <alignment horizontal="center" vertical="center" wrapText="1"/>
    </xf>
    <xf numFmtId="49" fontId="118" fillId="7" borderId="151" xfId="3" applyNumberFormat="1" applyFont="1" applyFill="1" applyBorder="1" applyAlignment="1">
      <alignment horizontal="center" vertical="center" wrapText="1"/>
    </xf>
    <xf numFmtId="49" fontId="177" fillId="0" borderId="131" xfId="2" applyNumberFormat="1" applyFont="1" applyFill="1" applyBorder="1" applyAlignment="1">
      <alignment horizontal="center" vertical="center" wrapText="1"/>
    </xf>
    <xf numFmtId="49" fontId="177" fillId="7" borderId="151" xfId="3" applyNumberFormat="1" applyFont="1" applyFill="1" applyBorder="1" applyAlignment="1">
      <alignment horizontal="center" vertical="center" wrapText="1"/>
    </xf>
    <xf numFmtId="0" fontId="177" fillId="7" borderId="152" xfId="1" applyNumberFormat="1" applyFont="1" applyFill="1" applyBorder="1" applyAlignment="1" applyProtection="1">
      <alignment horizontal="left" vertical="center" wrapText="1"/>
      <protection locked="0"/>
    </xf>
    <xf numFmtId="3" fontId="177" fillId="3" borderId="266" xfId="0" applyNumberFormat="1" applyFont="1" applyFill="1" applyBorder="1" applyAlignment="1">
      <alignment horizontal="center" vertical="center"/>
    </xf>
    <xf numFmtId="49" fontId="123" fillId="0" borderId="131" xfId="2" applyNumberFormat="1" applyFont="1" applyFill="1" applyBorder="1" applyAlignment="1">
      <alignment horizontal="center" vertical="center" wrapText="1"/>
    </xf>
    <xf numFmtId="49" fontId="123" fillId="7" borderId="151" xfId="3" applyNumberFormat="1" applyFont="1" applyFill="1" applyBorder="1" applyAlignment="1">
      <alignment horizontal="center" vertical="center" wrapText="1"/>
    </xf>
    <xf numFmtId="49" fontId="126" fillId="0" borderId="131" xfId="2" applyNumberFormat="1" applyFont="1" applyFill="1" applyBorder="1" applyAlignment="1">
      <alignment horizontal="center" vertical="center" wrapText="1"/>
    </xf>
    <xf numFmtId="49" fontId="126" fillId="7" borderId="151" xfId="3" applyNumberFormat="1" applyFont="1" applyFill="1" applyBorder="1" applyAlignment="1">
      <alignment horizontal="center" vertical="center" wrapText="1"/>
    </xf>
    <xf numFmtId="49" fontId="176" fillId="0" borderId="131" xfId="2" applyNumberFormat="1" applyFont="1" applyFill="1" applyBorder="1" applyAlignment="1">
      <alignment horizontal="center" vertical="center" wrapText="1"/>
    </xf>
    <xf numFmtId="49" fontId="176" fillId="0" borderId="151" xfId="0" applyNumberFormat="1" applyFont="1" applyBorder="1" applyAlignment="1">
      <alignment horizontal="center" vertical="center" wrapText="1"/>
    </xf>
    <xf numFmtId="0" fontId="119" fillId="7" borderId="152" xfId="3" applyFont="1" applyFill="1" applyBorder="1" applyAlignment="1">
      <alignment horizontal="left" vertical="center" wrapText="1"/>
    </xf>
    <xf numFmtId="49" fontId="176" fillId="7" borderId="151" xfId="3" applyNumberFormat="1" applyFont="1" applyFill="1" applyBorder="1" applyAlignment="1">
      <alignment horizontal="center" vertical="center" wrapText="1"/>
    </xf>
    <xf numFmtId="49" fontId="119" fillId="3" borderId="151" xfId="1" applyNumberFormat="1" applyFont="1" applyFill="1" applyBorder="1" applyAlignment="1" applyProtection="1">
      <alignment horizontal="center" vertical="center" wrapText="1"/>
      <protection locked="0"/>
    </xf>
    <xf numFmtId="0" fontId="119" fillId="3" borderId="152" xfId="1" applyNumberFormat="1" applyFont="1" applyFill="1" applyBorder="1" applyAlignment="1" applyProtection="1">
      <alignment horizontal="left" vertical="center" wrapText="1"/>
      <protection locked="0"/>
    </xf>
    <xf numFmtId="166" fontId="176" fillId="0" borderId="0" xfId="0" applyNumberFormat="1" applyFont="1" applyAlignment="1">
      <alignment horizontal="right"/>
    </xf>
    <xf numFmtId="3" fontId="176" fillId="3" borderId="153" xfId="0" applyNumberFormat="1" applyFont="1" applyFill="1" applyBorder="1" applyAlignment="1">
      <alignment horizontal="center" vertical="center"/>
    </xf>
    <xf numFmtId="3" fontId="176" fillId="3" borderId="267" xfId="0" applyNumberFormat="1" applyFont="1" applyFill="1" applyBorder="1" applyAlignment="1">
      <alignment horizontal="center" vertical="center"/>
    </xf>
    <xf numFmtId="3" fontId="119" fillId="3" borderId="267" xfId="0" applyNumberFormat="1" applyFont="1" applyFill="1" applyBorder="1" applyAlignment="1">
      <alignment horizontal="center" vertical="center"/>
    </xf>
    <xf numFmtId="0" fontId="176" fillId="0" borderId="151" xfId="0" applyFont="1" applyBorder="1" applyAlignment="1">
      <alignment horizontal="center"/>
    </xf>
    <xf numFmtId="0" fontId="176" fillId="0" borderId="152" xfId="0" applyFont="1" applyBorder="1" applyAlignment="1">
      <alignment horizontal="left" wrapText="1"/>
    </xf>
    <xf numFmtId="49" fontId="118" fillId="2" borderId="131" xfId="2" applyNumberFormat="1" applyFont="1" applyFill="1" applyBorder="1" applyAlignment="1">
      <alignment horizontal="center" vertical="center" wrapText="1"/>
    </xf>
    <xf numFmtId="49" fontId="119" fillId="13" borderId="151" xfId="1" applyNumberFormat="1" applyFont="1" applyFill="1" applyBorder="1" applyAlignment="1" applyProtection="1">
      <alignment horizontal="center" vertical="center" wrapText="1"/>
      <protection locked="0"/>
    </xf>
    <xf numFmtId="0" fontId="119" fillId="13" borderId="152" xfId="1" applyNumberFormat="1" applyFont="1" applyFill="1" applyBorder="1" applyAlignment="1" applyProtection="1">
      <alignment horizontal="left" vertical="center" wrapText="1"/>
      <protection locked="0"/>
    </xf>
    <xf numFmtId="0" fontId="119" fillId="7" borderId="152" xfId="2" applyFont="1" applyFill="1" applyBorder="1" applyAlignment="1" applyProtection="1">
      <alignment horizontal="left" vertical="center" wrapText="1"/>
      <protection locked="0"/>
    </xf>
    <xf numFmtId="3" fontId="176" fillId="0" borderId="0" xfId="0" applyNumberFormat="1" applyFont="1" applyAlignment="1">
      <alignment horizontal="center" vertical="center"/>
    </xf>
    <xf numFmtId="49" fontId="118" fillId="2" borderId="151" xfId="1" applyNumberFormat="1" applyFont="1" applyFill="1" applyBorder="1" applyAlignment="1" applyProtection="1">
      <alignment horizontal="center" vertical="center" wrapText="1"/>
      <protection locked="0"/>
    </xf>
    <xf numFmtId="0" fontId="118" fillId="16" borderId="152" xfId="2" applyFont="1" applyFill="1" applyBorder="1" applyAlignment="1" applyProtection="1">
      <alignment horizontal="left" vertical="center" wrapText="1"/>
      <protection locked="0"/>
    </xf>
    <xf numFmtId="3" fontId="118" fillId="2" borderId="161" xfId="0" applyNumberFormat="1" applyFont="1" applyFill="1" applyBorder="1" applyAlignment="1">
      <alignment horizontal="center" vertical="center"/>
    </xf>
    <xf numFmtId="3" fontId="118" fillId="2" borderId="151" xfId="0" applyNumberFormat="1" applyFont="1" applyFill="1" applyBorder="1" applyAlignment="1">
      <alignment horizontal="center" vertical="center"/>
    </xf>
    <xf numFmtId="3" fontId="118" fillId="2" borderId="153" xfId="0" applyNumberFormat="1" applyFont="1" applyFill="1" applyBorder="1" applyAlignment="1">
      <alignment horizontal="center" vertical="center"/>
    </xf>
    <xf numFmtId="3" fontId="118" fillId="2" borderId="128" xfId="0" applyNumberFormat="1" applyFont="1" applyFill="1" applyBorder="1" applyAlignment="1">
      <alignment horizontal="center" vertical="center"/>
    </xf>
    <xf numFmtId="49" fontId="119" fillId="5" borderId="151" xfId="1" applyNumberFormat="1" applyFont="1" applyFill="1" applyBorder="1" applyAlignment="1" applyProtection="1">
      <alignment horizontal="center" vertical="center" wrapText="1"/>
      <protection locked="0"/>
    </xf>
    <xf numFmtId="3" fontId="118" fillId="2" borderId="226" xfId="0" applyNumberFormat="1" applyFont="1" applyFill="1" applyBorder="1" applyAlignment="1">
      <alignment horizontal="center" vertical="center" wrapText="1"/>
    </xf>
    <xf numFmtId="0" fontId="118" fillId="5" borderId="152" xfId="2" applyFont="1" applyFill="1" applyBorder="1" applyAlignment="1" applyProtection="1">
      <alignment horizontal="left" vertical="center" wrapText="1"/>
      <protection locked="0"/>
    </xf>
    <xf numFmtId="3" fontId="118" fillId="2" borderId="2" xfId="0" applyNumberFormat="1" applyFont="1" applyFill="1" applyBorder="1" applyAlignment="1">
      <alignment horizontal="center" vertical="center"/>
    </xf>
    <xf numFmtId="49" fontId="119" fillId="2" borderId="135" xfId="2" applyNumberFormat="1" applyFont="1" applyFill="1" applyBorder="1" applyAlignment="1">
      <alignment horizontal="center" vertical="center" wrapText="1"/>
    </xf>
    <xf numFmtId="49" fontId="118" fillId="5" borderId="123" xfId="1" applyNumberFormat="1" applyFont="1" applyFill="1" applyBorder="1" applyAlignment="1" applyProtection="1">
      <alignment horizontal="center" vertical="center" wrapText="1"/>
      <protection locked="0"/>
    </xf>
    <xf numFmtId="0" fontId="118" fillId="5" borderId="124" xfId="2" applyFont="1" applyFill="1" applyBorder="1" applyAlignment="1" applyProtection="1">
      <alignment horizontal="left" vertical="center" wrapText="1"/>
      <protection locked="0"/>
    </xf>
    <xf numFmtId="3" fontId="118" fillId="2" borderId="238" xfId="0" applyNumberFormat="1" applyFont="1" applyFill="1" applyBorder="1" applyAlignment="1">
      <alignment horizontal="center" vertical="center"/>
    </xf>
    <xf numFmtId="3" fontId="118" fillId="2" borderId="123" xfId="0" applyNumberFormat="1" applyFont="1" applyFill="1" applyBorder="1" applyAlignment="1">
      <alignment horizontal="center" vertical="center"/>
    </xf>
    <xf numFmtId="3" fontId="118" fillId="2" borderId="119" xfId="0" applyNumberFormat="1" applyFont="1" applyFill="1" applyBorder="1" applyAlignment="1">
      <alignment horizontal="center" vertical="center"/>
    </xf>
    <xf numFmtId="3" fontId="118" fillId="2" borderId="190" xfId="0" applyNumberFormat="1" applyFont="1" applyFill="1" applyBorder="1" applyAlignment="1">
      <alignment horizontal="center" vertical="center"/>
    </xf>
    <xf numFmtId="3" fontId="118" fillId="2" borderId="118" xfId="0" applyNumberFormat="1" applyFont="1" applyFill="1" applyBorder="1" applyAlignment="1">
      <alignment horizontal="center" vertical="center"/>
    </xf>
    <xf numFmtId="3" fontId="118" fillId="2" borderId="120" xfId="0" applyNumberFormat="1" applyFont="1" applyFill="1" applyBorder="1" applyAlignment="1">
      <alignment horizontal="center" vertical="center"/>
    </xf>
    <xf numFmtId="3" fontId="118" fillId="2" borderId="220" xfId="0" applyNumberFormat="1" applyFont="1" applyFill="1" applyBorder="1" applyAlignment="1">
      <alignment horizontal="center" vertical="center"/>
    </xf>
    <xf numFmtId="3" fontId="121" fillId="2" borderId="239" xfId="0" applyNumberFormat="1" applyFont="1" applyFill="1" applyBorder="1" applyAlignment="1">
      <alignment horizontal="center" vertical="center"/>
    </xf>
    <xf numFmtId="0" fontId="133" fillId="0" borderId="0" xfId="0" applyFont="1" applyAlignment="1">
      <alignment horizontal="center" vertical="center"/>
    </xf>
    <xf numFmtId="3" fontId="120" fillId="3" borderId="0" xfId="0" applyNumberFormat="1" applyFont="1" applyFill="1" applyAlignment="1">
      <alignment horizontal="center" vertical="center"/>
    </xf>
    <xf numFmtId="3" fontId="121" fillId="3" borderId="0" xfId="0" applyNumberFormat="1" applyFont="1" applyFill="1" applyAlignment="1">
      <alignment horizontal="center" vertical="center"/>
    </xf>
    <xf numFmtId="3" fontId="118" fillId="2" borderId="155" xfId="0" applyNumberFormat="1" applyFont="1" applyFill="1" applyBorder="1" applyAlignment="1">
      <alignment horizontal="center" vertical="center"/>
    </xf>
    <xf numFmtId="3" fontId="125" fillId="6" borderId="128" xfId="0" applyNumberFormat="1" applyFont="1" applyFill="1" applyBorder="1" applyAlignment="1" applyProtection="1">
      <alignment horizontal="center" vertical="center" wrapText="1"/>
      <protection locked="0"/>
    </xf>
    <xf numFmtId="3" fontId="125" fillId="6" borderId="151" xfId="0" applyNumberFormat="1" applyFont="1" applyFill="1" applyBorder="1" applyAlignment="1" applyProtection="1">
      <alignment horizontal="center" vertical="center" wrapText="1"/>
      <protection locked="0"/>
    </xf>
    <xf numFmtId="3" fontId="125" fillId="6" borderId="153" xfId="0" applyNumberFormat="1" applyFont="1" applyFill="1" applyBorder="1" applyAlignment="1" applyProtection="1">
      <alignment horizontal="center" vertical="center" wrapText="1"/>
      <protection locked="0"/>
    </xf>
    <xf numFmtId="3" fontId="125" fillId="2" borderId="155" xfId="0" applyNumberFormat="1" applyFont="1" applyFill="1" applyBorder="1" applyAlignment="1">
      <alignment horizontal="center" vertical="center"/>
    </xf>
    <xf numFmtId="49" fontId="118" fillId="5" borderId="113" xfId="2" applyNumberFormat="1" applyFont="1" applyFill="1" applyBorder="1" applyAlignment="1">
      <alignment horizontal="center" vertical="center" wrapText="1"/>
    </xf>
    <xf numFmtId="0" fontId="118" fillId="5" borderId="156" xfId="2" applyFont="1" applyFill="1" applyBorder="1" applyAlignment="1">
      <alignment horizontal="center" vertical="center" wrapText="1"/>
    </xf>
    <xf numFmtId="3" fontId="119" fillId="5" borderId="155" xfId="2" applyNumberFormat="1" applyFont="1" applyFill="1" applyBorder="1" applyAlignment="1">
      <alignment horizontal="center" vertical="center" wrapText="1"/>
    </xf>
    <xf numFmtId="3" fontId="122" fillId="5" borderId="128" xfId="2" applyNumberFormat="1" applyFont="1" applyFill="1" applyBorder="1" applyAlignment="1">
      <alignment horizontal="center" vertical="center" wrapText="1"/>
    </xf>
    <xf numFmtId="3" fontId="122" fillId="5" borderId="151" xfId="2" applyNumberFormat="1" applyFont="1" applyFill="1" applyBorder="1" applyAlignment="1">
      <alignment horizontal="center" vertical="center" wrapText="1"/>
    </xf>
    <xf numFmtId="3" fontId="122" fillId="5" borderId="153" xfId="2" applyNumberFormat="1" applyFont="1" applyFill="1" applyBorder="1" applyAlignment="1">
      <alignment horizontal="center" vertical="center" wrapText="1"/>
    </xf>
    <xf numFmtId="3" fontId="122" fillId="5" borderId="155" xfId="2" applyNumberFormat="1" applyFont="1" applyFill="1" applyBorder="1" applyAlignment="1">
      <alignment horizontal="center" vertical="center" wrapText="1"/>
    </xf>
    <xf numFmtId="3" fontId="122" fillId="5" borderId="114" xfId="2" applyNumberFormat="1" applyFont="1" applyFill="1" applyBorder="1" applyAlignment="1">
      <alignment horizontal="center" vertical="center" wrapText="1"/>
    </xf>
    <xf numFmtId="49" fontId="119" fillId="5" borderId="113" xfId="2" applyNumberFormat="1" applyFont="1" applyFill="1" applyBorder="1" applyAlignment="1">
      <alignment horizontal="center" vertical="center" wrapText="1"/>
    </xf>
    <xf numFmtId="0" fontId="118" fillId="5" borderId="156" xfId="1" applyFont="1" applyFill="1" applyBorder="1" applyAlignment="1" applyProtection="1">
      <alignment horizontal="left" vertical="center" wrapText="1"/>
      <protection locked="0"/>
    </xf>
    <xf numFmtId="3" fontId="97" fillId="2" borderId="128" xfId="0" applyNumberFormat="1" applyFont="1" applyFill="1" applyBorder="1" applyAlignment="1">
      <alignment horizontal="center" vertical="center"/>
    </xf>
    <xf numFmtId="3" fontId="97" fillId="2" borderId="151" xfId="0" applyNumberFormat="1" applyFont="1" applyFill="1" applyBorder="1" applyAlignment="1">
      <alignment horizontal="center" vertical="center"/>
    </xf>
    <xf numFmtId="3" fontId="97" fillId="2" borderId="153" xfId="0" applyNumberFormat="1" applyFont="1" applyFill="1" applyBorder="1" applyAlignment="1">
      <alignment horizontal="center" vertical="center"/>
    </xf>
    <xf numFmtId="3" fontId="97" fillId="2" borderId="155" xfId="0" applyNumberFormat="1" applyFont="1" applyFill="1" applyBorder="1" applyAlignment="1">
      <alignment horizontal="center" vertical="center"/>
    </xf>
    <xf numFmtId="3" fontId="117" fillId="2" borderId="128" xfId="0" applyNumberFormat="1" applyFont="1" applyFill="1" applyBorder="1" applyAlignment="1">
      <alignment horizontal="center" vertical="center"/>
    </xf>
    <xf numFmtId="3" fontId="117" fillId="2" borderId="151" xfId="0" applyNumberFormat="1" applyFont="1" applyFill="1" applyBorder="1" applyAlignment="1">
      <alignment horizontal="center" vertical="center"/>
    </xf>
    <xf numFmtId="3" fontId="117" fillId="2" borderId="153" xfId="0" applyNumberFormat="1" applyFont="1" applyFill="1" applyBorder="1" applyAlignment="1">
      <alignment horizontal="center" vertical="center"/>
    </xf>
    <xf numFmtId="3" fontId="117" fillId="2" borderId="155" xfId="0" applyNumberFormat="1" applyFont="1" applyFill="1" applyBorder="1" applyAlignment="1">
      <alignment horizontal="center" vertical="center"/>
    </xf>
    <xf numFmtId="1" fontId="117" fillId="2" borderId="114" xfId="0" applyNumberFormat="1" applyFont="1" applyFill="1" applyBorder="1" applyAlignment="1">
      <alignment horizontal="center" vertical="center"/>
    </xf>
    <xf numFmtId="49" fontId="118" fillId="7" borderId="113" xfId="1" applyNumberFormat="1" applyFont="1" applyFill="1" applyBorder="1" applyAlignment="1" applyProtection="1">
      <alignment horizontal="center" vertical="center" wrapText="1"/>
      <protection locked="0"/>
    </xf>
    <xf numFmtId="0" fontId="118" fillId="7" borderId="156" xfId="2" applyFont="1" applyFill="1" applyBorder="1" applyAlignment="1" applyProtection="1">
      <alignment horizontal="left" vertical="center" wrapText="1"/>
      <protection locked="0"/>
    </xf>
    <xf numFmtId="3" fontId="118" fillId="4" borderId="128" xfId="0" applyNumberFormat="1" applyFont="1" applyFill="1" applyBorder="1" applyAlignment="1">
      <alignment horizontal="center" vertical="center" wrapText="1"/>
    </xf>
    <xf numFmtId="3" fontId="118" fillId="4" borderId="151" xfId="0" applyNumberFormat="1" applyFont="1" applyFill="1" applyBorder="1" applyAlignment="1">
      <alignment horizontal="center" vertical="center" wrapText="1"/>
    </xf>
    <xf numFmtId="3" fontId="118" fillId="4" borderId="153" xfId="0" applyNumberFormat="1" applyFont="1" applyFill="1" applyBorder="1" applyAlignment="1">
      <alignment horizontal="center" vertical="center" wrapText="1"/>
    </xf>
    <xf numFmtId="3" fontId="118" fillId="4" borderId="155" xfId="0" applyNumberFormat="1" applyFont="1" applyFill="1" applyBorder="1" applyAlignment="1">
      <alignment horizontal="center" vertical="center"/>
    </xf>
    <xf numFmtId="3" fontId="125" fillId="4" borderId="128" xfId="0" applyNumberFormat="1" applyFont="1" applyFill="1" applyBorder="1" applyAlignment="1">
      <alignment horizontal="center" vertical="center" wrapText="1"/>
    </xf>
    <xf numFmtId="3" fontId="125" fillId="4" borderId="151" xfId="0" applyNumberFormat="1" applyFont="1" applyFill="1" applyBorder="1" applyAlignment="1">
      <alignment horizontal="center" vertical="center" wrapText="1"/>
    </xf>
    <xf numFmtId="3" fontId="125" fillId="4" borderId="153" xfId="0" applyNumberFormat="1" applyFont="1" applyFill="1" applyBorder="1" applyAlignment="1">
      <alignment horizontal="center" vertical="center" wrapText="1"/>
    </xf>
    <xf numFmtId="3" fontId="125" fillId="4" borderId="155" xfId="0" applyNumberFormat="1" applyFont="1" applyFill="1" applyBorder="1" applyAlignment="1">
      <alignment horizontal="center" vertical="center"/>
    </xf>
    <xf numFmtId="1" fontId="117" fillId="3" borderId="114" xfId="0" applyNumberFormat="1" applyFont="1" applyFill="1" applyBorder="1" applyAlignment="1">
      <alignment horizontal="center" vertical="center"/>
    </xf>
    <xf numFmtId="49" fontId="119" fillId="7" borderId="113" xfId="2" applyNumberFormat="1" applyFont="1" applyFill="1" applyBorder="1" applyAlignment="1">
      <alignment horizontal="center" vertical="center" wrapText="1"/>
    </xf>
    <xf numFmtId="0" fontId="119" fillId="7" borderId="156" xfId="2" applyFont="1" applyFill="1" applyBorder="1" applyAlignment="1" applyProtection="1">
      <alignment horizontal="left" vertical="center" wrapText="1"/>
      <protection locked="0"/>
    </xf>
    <xf numFmtId="3" fontId="119" fillId="8" borderId="287" xfId="3" applyNumberFormat="1" applyFont="1" applyFill="1" applyBorder="1" applyAlignment="1">
      <alignment horizontal="center" vertical="center" wrapText="1"/>
    </xf>
    <xf numFmtId="3" fontId="119" fillId="8" borderId="266" xfId="3" applyNumberFormat="1" applyFont="1" applyFill="1" applyBorder="1" applyAlignment="1">
      <alignment horizontal="center" vertical="center" wrapText="1"/>
    </xf>
    <xf numFmtId="3" fontId="119" fillId="8" borderId="267" xfId="3" applyNumberFormat="1" applyFont="1" applyFill="1" applyBorder="1" applyAlignment="1">
      <alignment horizontal="center" vertical="center" wrapText="1"/>
    </xf>
    <xf numFmtId="3" fontId="119" fillId="7" borderId="155" xfId="3" applyNumberFormat="1" applyFont="1" applyFill="1" applyBorder="1" applyAlignment="1">
      <alignment horizontal="center" vertical="center" wrapText="1"/>
    </xf>
    <xf numFmtId="3" fontId="122" fillId="8" borderId="128" xfId="3" applyNumberFormat="1" applyFont="1" applyFill="1" applyBorder="1" applyAlignment="1">
      <alignment horizontal="center" vertical="center" wrapText="1"/>
    </xf>
    <xf numFmtId="3" fontId="122" fillId="8" borderId="151" xfId="3" applyNumberFormat="1" applyFont="1" applyFill="1" applyBorder="1" applyAlignment="1">
      <alignment horizontal="center" vertical="center" wrapText="1"/>
    </xf>
    <xf numFmtId="3" fontId="122" fillId="8" borderId="153" xfId="3" applyNumberFormat="1" applyFont="1" applyFill="1" applyBorder="1" applyAlignment="1">
      <alignment horizontal="center" vertical="center" wrapText="1"/>
    </xf>
    <xf numFmtId="3" fontId="122" fillId="7" borderId="155" xfId="3" applyNumberFormat="1" applyFont="1" applyFill="1" applyBorder="1" applyAlignment="1">
      <alignment horizontal="center" vertical="center" wrapText="1"/>
    </xf>
    <xf numFmtId="1" fontId="121" fillId="3" borderId="114" xfId="0" applyNumberFormat="1" applyFont="1" applyFill="1" applyBorder="1" applyAlignment="1">
      <alignment horizontal="center" vertical="center"/>
    </xf>
    <xf numFmtId="49" fontId="119" fillId="7" borderId="113" xfId="2" applyNumberFormat="1" applyFont="1" applyFill="1" applyBorder="1" applyAlignment="1" applyProtection="1">
      <alignment horizontal="center" vertical="center" wrapText="1"/>
      <protection locked="0"/>
    </xf>
    <xf numFmtId="0" fontId="119" fillId="7" borderId="156" xfId="2" applyFont="1" applyFill="1" applyBorder="1" applyAlignment="1">
      <alignment horizontal="left" vertical="center" wrapText="1"/>
    </xf>
    <xf numFmtId="49" fontId="118" fillId="7" borderId="113" xfId="2" applyNumberFormat="1" applyFont="1" applyFill="1" applyBorder="1" applyAlignment="1" applyProtection="1">
      <alignment horizontal="center" vertical="center" wrapText="1"/>
      <protection locked="0"/>
    </xf>
    <xf numFmtId="0" fontId="118" fillId="7" borderId="156" xfId="2" applyFont="1" applyFill="1" applyBorder="1" applyAlignment="1">
      <alignment horizontal="left" vertical="center" wrapText="1"/>
    </xf>
    <xf numFmtId="3" fontId="119" fillId="8" borderId="151" xfId="3" applyNumberFormat="1" applyFont="1" applyFill="1" applyBorder="1" applyAlignment="1">
      <alignment horizontal="center" vertical="center" wrapText="1"/>
    </xf>
    <xf numFmtId="3" fontId="119" fillId="8" borderId="153" xfId="3" applyNumberFormat="1" applyFont="1" applyFill="1" applyBorder="1" applyAlignment="1">
      <alignment horizontal="center" vertical="center" wrapText="1"/>
    </xf>
    <xf numFmtId="3" fontId="119" fillId="8" borderId="155" xfId="3" applyNumberFormat="1" applyFont="1" applyFill="1" applyBorder="1" applyAlignment="1">
      <alignment horizontal="center" vertical="center" wrapText="1"/>
    </xf>
    <xf numFmtId="3" fontId="122" fillId="8" borderId="155" xfId="3" applyNumberFormat="1" applyFont="1" applyFill="1" applyBorder="1" applyAlignment="1">
      <alignment horizontal="center" vertical="center" wrapText="1"/>
    </xf>
    <xf numFmtId="3" fontId="118" fillId="7" borderId="128" xfId="3" applyNumberFormat="1" applyFont="1" applyFill="1" applyBorder="1" applyAlignment="1">
      <alignment horizontal="center" vertical="center" wrapText="1"/>
    </xf>
    <xf numFmtId="3" fontId="118" fillId="7" borderId="151" xfId="3" applyNumberFormat="1" applyFont="1" applyFill="1" applyBorder="1" applyAlignment="1">
      <alignment horizontal="center" vertical="center" wrapText="1"/>
    </xf>
    <xf numFmtId="3" fontId="118" fillId="7" borderId="153" xfId="3" applyNumberFormat="1" applyFont="1" applyFill="1" applyBorder="1" applyAlignment="1">
      <alignment horizontal="center" vertical="center" wrapText="1"/>
    </xf>
    <xf numFmtId="3" fontId="118" fillId="7" borderId="155" xfId="3" applyNumberFormat="1" applyFont="1" applyFill="1" applyBorder="1" applyAlignment="1">
      <alignment horizontal="center" vertical="center" wrapText="1"/>
    </xf>
    <xf numFmtId="3" fontId="125" fillId="7" borderId="128" xfId="3" applyNumberFormat="1" applyFont="1" applyFill="1" applyBorder="1" applyAlignment="1">
      <alignment horizontal="center" vertical="center" wrapText="1"/>
    </xf>
    <xf numFmtId="3" fontId="125" fillId="7" borderId="151" xfId="3" applyNumberFormat="1" applyFont="1" applyFill="1" applyBorder="1" applyAlignment="1">
      <alignment horizontal="center" vertical="center" wrapText="1"/>
    </xf>
    <xf numFmtId="3" fontId="125" fillId="7" borderId="153" xfId="3" applyNumberFormat="1" applyFont="1" applyFill="1" applyBorder="1" applyAlignment="1">
      <alignment horizontal="center" vertical="center" wrapText="1"/>
    </xf>
    <xf numFmtId="3" fontId="125" fillId="7" borderId="155" xfId="3" applyNumberFormat="1" applyFont="1" applyFill="1" applyBorder="1" applyAlignment="1">
      <alignment horizontal="center" vertical="center" wrapText="1"/>
    </xf>
    <xf numFmtId="0" fontId="119" fillId="7" borderId="156" xfId="1" applyFont="1" applyFill="1" applyBorder="1" applyAlignment="1" applyProtection="1">
      <alignment horizontal="left" vertical="center" wrapText="1"/>
      <protection locked="0"/>
    </xf>
    <xf numFmtId="49" fontId="119" fillId="7" borderId="113" xfId="1" applyNumberFormat="1" applyFont="1" applyFill="1" applyBorder="1" applyAlignment="1" applyProtection="1">
      <alignment horizontal="center" vertical="center" wrapText="1"/>
      <protection locked="0"/>
    </xf>
    <xf numFmtId="3" fontId="119" fillId="3" borderId="287" xfId="3" applyNumberFormat="1" applyFont="1" applyFill="1" applyBorder="1" applyAlignment="1">
      <alignment horizontal="center" vertical="center" wrapText="1"/>
    </xf>
    <xf numFmtId="3" fontId="119" fillId="3" borderId="266" xfId="3" applyNumberFormat="1" applyFont="1" applyFill="1" applyBorder="1" applyAlignment="1">
      <alignment horizontal="center" vertical="center" wrapText="1"/>
    </xf>
    <xf numFmtId="3" fontId="119" fillId="3" borderId="267" xfId="3" applyNumberFormat="1" applyFont="1" applyFill="1" applyBorder="1" applyAlignment="1">
      <alignment horizontal="center" vertical="center" wrapText="1"/>
    </xf>
    <xf numFmtId="3" fontId="122" fillId="3" borderId="128" xfId="3" applyNumberFormat="1" applyFont="1" applyFill="1" applyBorder="1" applyAlignment="1">
      <alignment horizontal="center" vertical="center" wrapText="1"/>
    </xf>
    <xf numFmtId="3" fontId="122" fillId="3" borderId="151" xfId="3" applyNumberFormat="1" applyFont="1" applyFill="1" applyBorder="1" applyAlignment="1">
      <alignment horizontal="center" vertical="center" wrapText="1"/>
    </xf>
    <xf numFmtId="3" fontId="122" fillId="3" borderId="153" xfId="3" applyNumberFormat="1" applyFont="1" applyFill="1" applyBorder="1" applyAlignment="1">
      <alignment horizontal="center" vertical="center" wrapText="1"/>
    </xf>
    <xf numFmtId="49" fontId="119" fillId="0" borderId="113" xfId="1" applyNumberFormat="1" applyFont="1" applyBorder="1" applyAlignment="1" applyProtection="1">
      <alignment horizontal="center" vertical="center" wrapText="1"/>
      <protection locked="0"/>
    </xf>
    <xf numFmtId="0" fontId="119" fillId="0" borderId="156" xfId="1" applyFont="1" applyBorder="1" applyAlignment="1" applyProtection="1">
      <alignment horizontal="left" vertical="center" wrapText="1"/>
      <protection locked="0"/>
    </xf>
    <xf numFmtId="49" fontId="125" fillId="7" borderId="113" xfId="1" applyNumberFormat="1" applyFont="1" applyFill="1" applyBorder="1" applyAlignment="1" applyProtection="1">
      <alignment horizontal="center" vertical="center" wrapText="1"/>
      <protection locked="0"/>
    </xf>
    <xf numFmtId="0" fontId="118" fillId="7" borderId="156" xfId="1" applyFont="1" applyFill="1" applyBorder="1" applyAlignment="1" applyProtection="1">
      <alignment horizontal="left" vertical="center" wrapText="1"/>
      <protection locked="0"/>
    </xf>
    <xf numFmtId="3" fontId="118" fillId="3" borderId="155" xfId="0" applyNumberFormat="1" applyFont="1" applyFill="1" applyBorder="1" applyAlignment="1">
      <alignment horizontal="center" vertical="center" wrapText="1"/>
    </xf>
    <xf numFmtId="3" fontId="125" fillId="3" borderId="155" xfId="0" applyNumberFormat="1" applyFont="1" applyFill="1" applyBorder="1" applyAlignment="1">
      <alignment horizontal="center" vertical="center" wrapText="1"/>
    </xf>
    <xf numFmtId="3" fontId="119" fillId="7" borderId="287" xfId="3" applyNumberFormat="1" applyFont="1" applyFill="1" applyBorder="1" applyAlignment="1">
      <alignment horizontal="center" vertical="center" wrapText="1"/>
    </xf>
    <xf numFmtId="3" fontId="119" fillId="7" borderId="266" xfId="3" applyNumberFormat="1" applyFont="1" applyFill="1" applyBorder="1" applyAlignment="1">
      <alignment horizontal="center" vertical="center" wrapText="1"/>
    </xf>
    <xf numFmtId="3" fontId="119" fillId="7" borderId="267" xfId="3" applyNumberFormat="1" applyFont="1" applyFill="1" applyBorder="1" applyAlignment="1">
      <alignment horizontal="center" vertical="center" wrapText="1"/>
    </xf>
    <xf numFmtId="49" fontId="118" fillId="3" borderId="113" xfId="2" applyNumberFormat="1" applyFont="1" applyFill="1" applyBorder="1" applyAlignment="1">
      <alignment horizontal="center" vertical="center" wrapText="1"/>
    </xf>
    <xf numFmtId="0" fontId="118" fillId="3" borderId="156" xfId="2" applyFont="1" applyFill="1" applyBorder="1" applyAlignment="1">
      <alignment horizontal="left" vertical="center" wrapText="1"/>
    </xf>
    <xf numFmtId="3" fontId="118" fillId="7" borderId="287" xfId="3" applyNumberFormat="1" applyFont="1" applyFill="1" applyBorder="1" applyAlignment="1">
      <alignment horizontal="center" vertical="center" wrapText="1"/>
    </xf>
    <xf numFmtId="3" fontId="118" fillId="7" borderId="266" xfId="3" applyNumberFormat="1" applyFont="1" applyFill="1" applyBorder="1" applyAlignment="1">
      <alignment horizontal="center" vertical="center" wrapText="1"/>
    </xf>
    <xf numFmtId="3" fontId="118" fillId="7" borderId="267" xfId="3" applyNumberFormat="1" applyFont="1" applyFill="1" applyBorder="1" applyAlignment="1">
      <alignment horizontal="center" vertical="center" wrapText="1"/>
    </xf>
    <xf numFmtId="3" fontId="124" fillId="8" borderId="128" xfId="3" applyNumberFormat="1" applyFont="1" applyFill="1" applyBorder="1" applyAlignment="1">
      <alignment horizontal="center" vertical="center" wrapText="1"/>
    </xf>
    <xf numFmtId="3" fontId="125" fillId="8" borderId="151" xfId="3" applyNumberFormat="1" applyFont="1" applyFill="1" applyBorder="1" applyAlignment="1">
      <alignment horizontal="center" vertical="center" wrapText="1"/>
    </xf>
    <xf numFmtId="3" fontId="125" fillId="8" borderId="153" xfId="3" applyNumberFormat="1" applyFont="1" applyFill="1" applyBorder="1" applyAlignment="1">
      <alignment horizontal="center" vertical="center" wrapText="1"/>
    </xf>
    <xf numFmtId="3" fontId="118" fillId="8" borderId="155" xfId="3" applyNumberFormat="1" applyFont="1" applyFill="1" applyBorder="1" applyAlignment="1">
      <alignment horizontal="center" vertical="center" wrapText="1"/>
    </xf>
    <xf numFmtId="3" fontId="125" fillId="8" borderId="128" xfId="3" quotePrefix="1" applyNumberFormat="1" applyFont="1" applyFill="1" applyBorder="1" applyAlignment="1">
      <alignment horizontal="center" vertical="center" wrapText="1"/>
    </xf>
    <xf numFmtId="3" fontId="125" fillId="8" borderId="155" xfId="3" applyNumberFormat="1" applyFont="1" applyFill="1" applyBorder="1" applyAlignment="1">
      <alignment horizontal="center" vertical="center" wrapText="1"/>
    </xf>
    <xf numFmtId="3" fontId="125" fillId="8" borderId="128" xfId="3" applyNumberFormat="1" applyFont="1" applyFill="1" applyBorder="1" applyAlignment="1">
      <alignment horizontal="center" vertical="center" wrapText="1"/>
    </xf>
    <xf numFmtId="49" fontId="118" fillId="5" borderId="113" xfId="1" applyNumberFormat="1" applyFont="1" applyFill="1" applyBorder="1" applyAlignment="1" applyProtection="1">
      <alignment horizontal="center" vertical="center" wrapText="1"/>
      <protection locked="0"/>
    </xf>
    <xf numFmtId="3" fontId="118" fillId="3" borderId="155" xfId="0" applyNumberFormat="1" applyFont="1" applyFill="1" applyBorder="1" applyAlignment="1">
      <alignment horizontal="center" vertical="center"/>
    </xf>
    <xf numFmtId="3" fontId="125" fillId="3" borderId="155" xfId="0" applyNumberFormat="1" applyFont="1" applyFill="1" applyBorder="1" applyAlignment="1">
      <alignment horizontal="center" vertical="center"/>
    </xf>
    <xf numFmtId="49" fontId="119" fillId="16" borderId="113" xfId="1" applyNumberFormat="1" applyFont="1" applyFill="1" applyBorder="1" applyAlignment="1" applyProtection="1">
      <alignment horizontal="center" vertical="center" wrapText="1"/>
      <protection locked="0"/>
    </xf>
    <xf numFmtId="0" fontId="118" fillId="16" borderId="156" xfId="1" applyFont="1" applyFill="1" applyBorder="1" applyAlignment="1" applyProtection="1">
      <alignment horizontal="left" vertical="center" wrapText="1"/>
      <protection locked="0"/>
    </xf>
    <xf numFmtId="3" fontId="125" fillId="2" borderId="128" xfId="0" applyNumberFormat="1" applyFont="1" applyFill="1" applyBorder="1" applyAlignment="1">
      <alignment horizontal="center" vertical="center"/>
    </xf>
    <xf numFmtId="3" fontId="125" fillId="2" borderId="151" xfId="0" applyNumberFormat="1" applyFont="1" applyFill="1" applyBorder="1" applyAlignment="1">
      <alignment horizontal="center" vertical="center"/>
    </xf>
    <xf numFmtId="3" fontId="125" fillId="2" borderId="153" xfId="0" applyNumberFormat="1" applyFont="1" applyFill="1" applyBorder="1" applyAlignment="1">
      <alignment horizontal="center" vertical="center"/>
    </xf>
    <xf numFmtId="3" fontId="122" fillId="3" borderId="128" xfId="0" applyNumberFormat="1" applyFont="1" applyFill="1" applyBorder="1" applyAlignment="1">
      <alignment horizontal="center" vertical="center"/>
    </xf>
    <xf numFmtId="3" fontId="122" fillId="3" borderId="151" xfId="0" applyNumberFormat="1" applyFont="1" applyFill="1" applyBorder="1" applyAlignment="1">
      <alignment horizontal="center" vertical="center"/>
    </xf>
    <xf numFmtId="3" fontId="122" fillId="3" borderId="153" xfId="0" applyNumberFormat="1" applyFont="1" applyFill="1" applyBorder="1" applyAlignment="1">
      <alignment horizontal="center" vertical="center"/>
    </xf>
    <xf numFmtId="49" fontId="118" fillId="5" borderId="125" xfId="1" applyNumberFormat="1" applyFont="1" applyFill="1" applyBorder="1" applyAlignment="1" applyProtection="1">
      <alignment horizontal="center" vertical="center" wrapText="1"/>
      <protection locked="0"/>
    </xf>
    <xf numFmtId="0" fontId="118" fillId="5" borderId="201" xfId="1" applyFont="1" applyFill="1" applyBorder="1" applyAlignment="1" applyProtection="1">
      <alignment horizontal="left" vertical="center" wrapText="1"/>
      <protection locked="0"/>
    </xf>
    <xf numFmtId="3" fontId="125" fillId="2" borderId="189" xfId="0" applyNumberFormat="1" applyFont="1" applyFill="1" applyBorder="1" applyAlignment="1">
      <alignment horizontal="center" vertical="center"/>
    </xf>
    <xf numFmtId="1" fontId="121" fillId="2" borderId="114" xfId="0" applyNumberFormat="1" applyFont="1" applyFill="1" applyBorder="1" applyAlignment="1">
      <alignment horizontal="center" vertical="center"/>
    </xf>
    <xf numFmtId="0" fontId="36" fillId="2" borderId="125" xfId="0" applyFont="1" applyFill="1" applyBorder="1"/>
    <xf numFmtId="0" fontId="118" fillId="5" borderId="152" xfId="1" applyFont="1" applyFill="1" applyBorder="1" applyAlignment="1" applyProtection="1">
      <alignment horizontal="left" vertical="center" wrapText="1"/>
      <protection locked="0"/>
    </xf>
    <xf numFmtId="0" fontId="117" fillId="2" borderId="128" xfId="0" applyFont="1" applyFill="1" applyBorder="1"/>
    <xf numFmtId="3" fontId="117" fillId="2" borderId="189" xfId="0" applyNumberFormat="1" applyFont="1" applyFill="1" applyBorder="1" applyAlignment="1">
      <alignment horizontal="center" vertical="center"/>
    </xf>
    <xf numFmtId="0" fontId="36" fillId="2" borderId="121" xfId="0" applyFont="1" applyFill="1" applyBorder="1"/>
    <xf numFmtId="0" fontId="118" fillId="5" borderId="124" xfId="1" applyFont="1" applyFill="1" applyBorder="1" applyAlignment="1" applyProtection="1">
      <alignment horizontal="left" vertical="center" wrapText="1"/>
      <protection locked="0"/>
    </xf>
    <xf numFmtId="3" fontId="117" fillId="2" borderId="118" xfId="0" applyNumberFormat="1" applyFont="1" applyFill="1" applyBorder="1"/>
    <xf numFmtId="3" fontId="117" fillId="2" borderId="123" xfId="0" applyNumberFormat="1" applyFont="1" applyFill="1" applyBorder="1"/>
    <xf numFmtId="3" fontId="117" fillId="2" borderId="119" xfId="0" applyNumberFormat="1" applyFont="1" applyFill="1" applyBorder="1"/>
    <xf numFmtId="3" fontId="117" fillId="2" borderId="190" xfId="0" applyNumberFormat="1" applyFont="1" applyFill="1" applyBorder="1"/>
    <xf numFmtId="0" fontId="128" fillId="0" borderId="0" xfId="0" applyFont="1"/>
    <xf numFmtId="3" fontId="121" fillId="3" borderId="0" xfId="0" applyNumberFormat="1" applyFont="1" applyFill="1"/>
    <xf numFmtId="3" fontId="121" fillId="0" borderId="0" xfId="0" applyNumberFormat="1" applyFont="1"/>
    <xf numFmtId="3" fontId="124" fillId="0" borderId="0" xfId="0" applyNumberFormat="1" applyFont="1"/>
    <xf numFmtId="3" fontId="121" fillId="0" borderId="0" xfId="0" applyNumberFormat="1" applyFont="1" applyAlignment="1">
      <alignment horizontal="center" vertical="center"/>
    </xf>
    <xf numFmtId="3" fontId="133" fillId="3" borderId="0" xfId="0" applyNumberFormat="1" applyFont="1" applyFill="1" applyAlignment="1">
      <alignment horizontal="center" vertical="center"/>
    </xf>
    <xf numFmtId="3" fontId="135" fillId="3" borderId="0" xfId="0" applyNumberFormat="1" applyFont="1" applyFill="1" applyAlignment="1">
      <alignment horizontal="center" vertical="center"/>
    </xf>
    <xf numFmtId="3" fontId="177" fillId="3" borderId="0" xfId="0" applyNumberFormat="1" applyFont="1" applyFill="1" applyAlignment="1">
      <alignment horizontal="center" vertical="center"/>
    </xf>
    <xf numFmtId="3" fontId="178" fillId="3" borderId="0" xfId="0" applyNumberFormat="1" applyFont="1" applyFill="1" applyAlignment="1">
      <alignment horizontal="center" vertical="center"/>
    </xf>
    <xf numFmtId="3" fontId="179" fillId="3" borderId="0" xfId="0" applyNumberFormat="1" applyFont="1" applyFill="1" applyAlignment="1">
      <alignment horizontal="center" vertical="center"/>
    </xf>
    <xf numFmtId="3" fontId="180" fillId="3" borderId="0" xfId="0" applyNumberFormat="1" applyFont="1" applyFill="1" applyAlignment="1">
      <alignment horizontal="center" vertical="center"/>
    </xf>
    <xf numFmtId="3" fontId="123" fillId="3" borderId="0" xfId="0" applyNumberFormat="1" applyFont="1" applyFill="1" applyAlignment="1">
      <alignment horizontal="center" vertical="center"/>
    </xf>
    <xf numFmtId="3" fontId="124" fillId="3" borderId="0" xfId="0" applyNumberFormat="1" applyFont="1" applyFill="1" applyAlignment="1">
      <alignment horizontal="center" vertical="center"/>
    </xf>
    <xf numFmtId="3" fontId="118" fillId="6" borderId="108" xfId="0" applyNumberFormat="1" applyFont="1" applyFill="1" applyBorder="1" applyAlignment="1" applyProtection="1">
      <alignment horizontal="center" vertical="center" wrapText="1"/>
      <protection locked="0"/>
    </xf>
    <xf numFmtId="3" fontId="125" fillId="6" borderId="263" xfId="0" applyNumberFormat="1" applyFont="1" applyFill="1" applyBorder="1" applyAlignment="1" applyProtection="1">
      <alignment horizontal="center" vertical="center" wrapText="1"/>
      <protection locked="0"/>
    </xf>
    <xf numFmtId="3" fontId="125" fillId="6" borderId="33" xfId="0" applyNumberFormat="1" applyFont="1" applyFill="1" applyBorder="1" applyAlignment="1" applyProtection="1">
      <alignment horizontal="center" vertical="center" wrapText="1"/>
      <protection locked="0"/>
    </xf>
    <xf numFmtId="3" fontId="119" fillId="5" borderId="108" xfId="2" applyNumberFormat="1" applyFont="1" applyFill="1" applyBorder="1" applyAlignment="1">
      <alignment horizontal="center" vertical="center" wrapText="1"/>
    </xf>
    <xf numFmtId="3" fontId="122" fillId="5" borderId="263" xfId="2" applyNumberFormat="1" applyFont="1" applyFill="1" applyBorder="1" applyAlignment="1">
      <alignment horizontal="center" vertical="center" wrapText="1"/>
    </xf>
    <xf numFmtId="3" fontId="122" fillId="5" borderId="33" xfId="2" applyNumberFormat="1" applyFont="1" applyFill="1" applyBorder="1" applyAlignment="1">
      <alignment horizontal="center" vertical="center" wrapText="1"/>
    </xf>
    <xf numFmtId="3" fontId="118" fillId="5" borderId="108" xfId="2" applyNumberFormat="1" applyFont="1" applyFill="1" applyBorder="1" applyAlignment="1">
      <alignment horizontal="center" vertical="center" wrapText="1"/>
    </xf>
    <xf numFmtId="3" fontId="125" fillId="5" borderId="263" xfId="2" applyNumberFormat="1" applyFont="1" applyFill="1" applyBorder="1" applyAlignment="1">
      <alignment horizontal="center" vertical="center" wrapText="1"/>
    </xf>
    <xf numFmtId="3" fontId="125" fillId="5" borderId="33" xfId="2" applyNumberFormat="1" applyFont="1" applyFill="1" applyBorder="1" applyAlignment="1">
      <alignment horizontal="center" vertical="center" wrapText="1"/>
    </xf>
    <xf numFmtId="3" fontId="118" fillId="4" borderId="108" xfId="0" applyNumberFormat="1" applyFont="1" applyFill="1" applyBorder="1" applyAlignment="1">
      <alignment horizontal="center" vertical="center"/>
    </xf>
    <xf numFmtId="3" fontId="125" fillId="4" borderId="263" xfId="0" applyNumberFormat="1" applyFont="1" applyFill="1" applyBorder="1" applyAlignment="1">
      <alignment horizontal="center" vertical="center"/>
    </xf>
    <xf numFmtId="3" fontId="125" fillId="4" borderId="33" xfId="0" applyNumberFormat="1" applyFont="1" applyFill="1" applyBorder="1" applyAlignment="1">
      <alignment horizontal="center" vertical="center"/>
    </xf>
    <xf numFmtId="3" fontId="119" fillId="4" borderId="108" xfId="0" applyNumberFormat="1" applyFont="1" applyFill="1" applyBorder="1" applyAlignment="1">
      <alignment horizontal="center" vertical="center"/>
    </xf>
    <xf numFmtId="3" fontId="122" fillId="4" borderId="263" xfId="0" applyNumberFormat="1" applyFont="1" applyFill="1" applyBorder="1" applyAlignment="1">
      <alignment horizontal="center" vertical="center"/>
    </xf>
    <xf numFmtId="3" fontId="122" fillId="4" borderId="33" xfId="0" applyNumberFormat="1" applyFont="1" applyFill="1" applyBorder="1" applyAlignment="1">
      <alignment horizontal="center" vertical="center"/>
    </xf>
    <xf numFmtId="3" fontId="118" fillId="3" borderId="108" xfId="0" applyNumberFormat="1" applyFont="1" applyFill="1" applyBorder="1" applyAlignment="1">
      <alignment horizontal="center" vertical="center"/>
    </xf>
    <xf numFmtId="3" fontId="125" fillId="3" borderId="263" xfId="0" applyNumberFormat="1" applyFont="1" applyFill="1" applyBorder="1" applyAlignment="1">
      <alignment horizontal="center" vertical="center"/>
    </xf>
    <xf numFmtId="3" fontId="125" fillId="3" borderId="33" xfId="0" applyNumberFormat="1" applyFont="1" applyFill="1" applyBorder="1" applyAlignment="1">
      <alignment horizontal="center" vertical="center"/>
    </xf>
    <xf numFmtId="3" fontId="119" fillId="0" borderId="108" xfId="0" applyNumberFormat="1" applyFont="1" applyBorder="1" applyAlignment="1">
      <alignment horizontal="center" vertical="center"/>
    </xf>
    <xf numFmtId="3" fontId="122" fillId="0" borderId="263" xfId="0" applyNumberFormat="1" applyFont="1" applyBorder="1" applyAlignment="1">
      <alignment horizontal="center" vertical="center"/>
    </xf>
    <xf numFmtId="3" fontId="122" fillId="0" borderId="33" xfId="0" applyNumberFormat="1" applyFont="1" applyBorder="1" applyAlignment="1">
      <alignment horizontal="center" vertical="center"/>
    </xf>
    <xf numFmtId="3" fontId="119" fillId="9" borderId="108" xfId="2" applyNumberFormat="1" applyFont="1" applyFill="1" applyBorder="1" applyAlignment="1">
      <alignment horizontal="center" vertical="center" wrapText="1"/>
    </xf>
    <xf numFmtId="3" fontId="122" fillId="9" borderId="263" xfId="2" applyNumberFormat="1" applyFont="1" applyFill="1" applyBorder="1" applyAlignment="1">
      <alignment horizontal="center" vertical="center" wrapText="1"/>
    </xf>
    <xf numFmtId="3" fontId="122" fillId="9" borderId="33" xfId="2" applyNumberFormat="1" applyFont="1" applyFill="1" applyBorder="1" applyAlignment="1">
      <alignment horizontal="center" vertical="center" wrapText="1"/>
    </xf>
    <xf numFmtId="3" fontId="118" fillId="9" borderId="108" xfId="2" applyNumberFormat="1" applyFont="1" applyFill="1" applyBorder="1" applyAlignment="1">
      <alignment horizontal="center" vertical="center" wrapText="1"/>
    </xf>
    <xf numFmtId="3" fontId="125" fillId="9" borderId="263" xfId="2" applyNumberFormat="1" applyFont="1" applyFill="1" applyBorder="1" applyAlignment="1">
      <alignment horizontal="center" vertical="center" wrapText="1"/>
    </xf>
    <xf numFmtId="3" fontId="125" fillId="9" borderId="33" xfId="2" applyNumberFormat="1" applyFont="1" applyFill="1" applyBorder="1" applyAlignment="1">
      <alignment horizontal="center" vertical="center" wrapText="1"/>
    </xf>
    <xf numFmtId="3" fontId="118" fillId="2" borderId="108" xfId="0" applyNumberFormat="1" applyFont="1" applyFill="1" applyBorder="1" applyAlignment="1">
      <alignment horizontal="center" vertical="center"/>
    </xf>
    <xf numFmtId="3" fontId="125" fillId="2" borderId="263" xfId="0" applyNumberFormat="1" applyFont="1" applyFill="1" applyBorder="1" applyAlignment="1">
      <alignment horizontal="center" vertical="center"/>
    </xf>
    <xf numFmtId="3" fontId="125" fillId="2" borderId="33" xfId="0" applyNumberFormat="1" applyFont="1" applyFill="1" applyBorder="1" applyAlignment="1">
      <alignment horizontal="center" vertical="center"/>
    </xf>
    <xf numFmtId="3" fontId="119" fillId="3" borderId="108" xfId="0" applyNumberFormat="1" applyFont="1" applyFill="1" applyBorder="1" applyAlignment="1">
      <alignment horizontal="center" vertical="center"/>
    </xf>
    <xf numFmtId="3" fontId="122" fillId="3" borderId="263" xfId="0" applyNumberFormat="1" applyFont="1" applyFill="1" applyBorder="1" applyAlignment="1">
      <alignment horizontal="center" vertical="center"/>
    </xf>
    <xf numFmtId="3" fontId="122" fillId="3" borderId="33" xfId="0" applyNumberFormat="1" applyFont="1" applyFill="1" applyBorder="1" applyAlignment="1">
      <alignment horizontal="center" vertical="center"/>
    </xf>
    <xf numFmtId="3" fontId="118" fillId="3" borderId="108" xfId="0" applyNumberFormat="1" applyFont="1" applyFill="1" applyBorder="1" applyAlignment="1">
      <alignment horizontal="center" vertical="center" wrapText="1"/>
    </xf>
    <xf numFmtId="3" fontId="125" fillId="3" borderId="263" xfId="0" applyNumberFormat="1" applyFont="1" applyFill="1" applyBorder="1" applyAlignment="1">
      <alignment horizontal="center" vertical="center" wrapText="1"/>
    </xf>
    <xf numFmtId="3" fontId="125" fillId="3" borderId="33" xfId="0" applyNumberFormat="1" applyFont="1" applyFill="1" applyBorder="1" applyAlignment="1">
      <alignment horizontal="center" vertical="center" wrapText="1"/>
    </xf>
    <xf numFmtId="3" fontId="118" fillId="0" borderId="108" xfId="0" applyNumberFormat="1" applyFont="1" applyBorder="1" applyAlignment="1">
      <alignment horizontal="center" vertical="center"/>
    </xf>
    <xf numFmtId="3" fontId="125" fillId="0" borderId="263" xfId="0" applyNumberFormat="1" applyFont="1" applyBorder="1" applyAlignment="1">
      <alignment horizontal="center" vertical="center"/>
    </xf>
    <xf numFmtId="3" fontId="125" fillId="0" borderId="33" xfId="0" applyNumberFormat="1" applyFont="1" applyBorder="1" applyAlignment="1">
      <alignment horizontal="center" vertical="center"/>
    </xf>
    <xf numFmtId="3" fontId="177" fillId="3" borderId="108" xfId="0" applyNumberFormat="1" applyFont="1" applyFill="1" applyBorder="1" applyAlignment="1">
      <alignment horizontal="center" vertical="center"/>
    </xf>
    <xf numFmtId="3" fontId="178" fillId="3" borderId="263" xfId="0" applyNumberFormat="1" applyFont="1" applyFill="1" applyBorder="1" applyAlignment="1">
      <alignment horizontal="center" vertical="center"/>
    </xf>
    <xf numFmtId="3" fontId="178" fillId="3" borderId="33" xfId="0" applyNumberFormat="1" applyFont="1" applyFill="1" applyBorder="1" applyAlignment="1">
      <alignment horizontal="center" vertical="center"/>
    </xf>
    <xf numFmtId="3" fontId="123" fillId="3" borderId="108" xfId="0" applyNumberFormat="1" applyFont="1" applyFill="1" applyBorder="1" applyAlignment="1">
      <alignment horizontal="center" vertical="center"/>
    </xf>
    <xf numFmtId="3" fontId="124" fillId="3" borderId="263" xfId="0" applyNumberFormat="1" applyFont="1" applyFill="1" applyBorder="1" applyAlignment="1">
      <alignment horizontal="center" vertical="center"/>
    </xf>
    <xf numFmtId="3" fontId="124" fillId="3" borderId="33" xfId="0" applyNumberFormat="1" applyFont="1" applyFill="1" applyBorder="1" applyAlignment="1">
      <alignment horizontal="center" vertical="center"/>
    </xf>
    <xf numFmtId="3" fontId="181" fillId="3" borderId="108" xfId="0" applyNumberFormat="1" applyFont="1" applyFill="1" applyBorder="1" applyAlignment="1">
      <alignment horizontal="center" vertical="center"/>
    </xf>
    <xf numFmtId="3" fontId="182" fillId="3" borderId="263" xfId="0" applyNumberFormat="1" applyFont="1" applyFill="1" applyBorder="1" applyAlignment="1">
      <alignment horizontal="center" vertical="center"/>
    </xf>
    <xf numFmtId="3" fontId="182" fillId="3" borderId="33" xfId="0" applyNumberFormat="1" applyFont="1" applyFill="1" applyBorder="1" applyAlignment="1">
      <alignment horizontal="center" vertical="center"/>
    </xf>
    <xf numFmtId="3" fontId="119" fillId="3" borderId="108" xfId="0" applyNumberFormat="1" applyFont="1" applyFill="1" applyBorder="1" applyAlignment="1">
      <alignment horizontal="center" vertical="center" wrapText="1"/>
    </xf>
    <xf numFmtId="3" fontId="122" fillId="3" borderId="263" xfId="0" applyNumberFormat="1" applyFont="1" applyFill="1" applyBorder="1" applyAlignment="1">
      <alignment horizontal="center" vertical="center" wrapText="1"/>
    </xf>
    <xf numFmtId="3" fontId="122" fillId="3" borderId="33" xfId="0" applyNumberFormat="1" applyFont="1" applyFill="1" applyBorder="1" applyAlignment="1">
      <alignment horizontal="center" vertical="center" wrapText="1"/>
    </xf>
    <xf numFmtId="3" fontId="123" fillId="8" borderId="108" xfId="5" applyNumberFormat="1" applyFont="1" applyFill="1" applyBorder="1" applyAlignment="1">
      <alignment horizontal="center" vertical="center"/>
    </xf>
    <xf numFmtId="3" fontId="124" fillId="8" borderId="263" xfId="5" applyNumberFormat="1" applyFont="1" applyFill="1" applyBorder="1" applyAlignment="1">
      <alignment horizontal="center" vertical="center"/>
    </xf>
    <xf numFmtId="3" fontId="124" fillId="8" borderId="33" xfId="5" applyNumberFormat="1" applyFont="1" applyFill="1" applyBorder="1" applyAlignment="1">
      <alignment horizontal="center" vertical="center"/>
    </xf>
    <xf numFmtId="3" fontId="118" fillId="8" borderId="108" xfId="6" applyNumberFormat="1" applyFont="1" applyFill="1" applyBorder="1" applyAlignment="1">
      <alignment horizontal="center" vertical="center"/>
    </xf>
    <xf numFmtId="3" fontId="125" fillId="8" borderId="263" xfId="6" applyNumberFormat="1" applyFont="1" applyFill="1" applyBorder="1" applyAlignment="1">
      <alignment horizontal="center" vertical="center"/>
    </xf>
    <xf numFmtId="3" fontId="125" fillId="8" borderId="33" xfId="6" applyNumberFormat="1" applyFont="1" applyFill="1" applyBorder="1" applyAlignment="1">
      <alignment horizontal="center" vertical="center"/>
    </xf>
    <xf numFmtId="3" fontId="118" fillId="15" borderId="108" xfId="6" applyNumberFormat="1" applyFont="1" applyFill="1" applyBorder="1" applyAlignment="1">
      <alignment horizontal="center" vertical="center"/>
    </xf>
    <xf numFmtId="3" fontId="125" fillId="15" borderId="263" xfId="6" applyNumberFormat="1" applyFont="1" applyFill="1" applyBorder="1" applyAlignment="1">
      <alignment horizontal="center" vertical="center"/>
    </xf>
    <xf numFmtId="3" fontId="125" fillId="15" borderId="33" xfId="6" applyNumberFormat="1" applyFont="1" applyFill="1" applyBorder="1" applyAlignment="1">
      <alignment horizontal="center" vertical="center"/>
    </xf>
    <xf numFmtId="3" fontId="118" fillId="8" borderId="108" xfId="5" applyNumberFormat="1" applyFont="1" applyFill="1" applyBorder="1" applyAlignment="1">
      <alignment horizontal="center" vertical="center"/>
    </xf>
    <xf numFmtId="3" fontId="125" fillId="8" borderId="263" xfId="5" applyNumberFormat="1" applyFont="1" applyFill="1" applyBorder="1" applyAlignment="1">
      <alignment horizontal="center" vertical="center"/>
    </xf>
    <xf numFmtId="3" fontId="125" fillId="8" borderId="33" xfId="5" applyNumberFormat="1" applyFont="1" applyFill="1" applyBorder="1" applyAlignment="1">
      <alignment horizontal="center" vertical="center"/>
    </xf>
    <xf numFmtId="3" fontId="119" fillId="8" borderId="0" xfId="5" applyNumberFormat="1" applyFont="1" applyFill="1" applyBorder="1" applyAlignment="1">
      <alignment horizontal="center" vertical="center"/>
    </xf>
    <xf numFmtId="3" fontId="122" fillId="8" borderId="0" xfId="5" applyNumberFormat="1" applyFont="1" applyFill="1" applyBorder="1" applyAlignment="1">
      <alignment horizontal="center" vertical="center"/>
    </xf>
    <xf numFmtId="0" fontId="183" fillId="3" borderId="108" xfId="0" applyFont="1" applyFill="1" applyBorder="1"/>
    <xf numFmtId="0" fontId="125" fillId="3" borderId="263" xfId="0" applyFont="1" applyFill="1" applyBorder="1"/>
    <xf numFmtId="0" fontId="125" fillId="3" borderId="33" xfId="0" applyFont="1" applyFill="1" applyBorder="1" applyAlignment="1">
      <alignment horizontal="center" vertical="center"/>
    </xf>
    <xf numFmtId="3" fontId="118" fillId="2" borderId="56" xfId="0" applyNumberFormat="1" applyFont="1" applyFill="1" applyBorder="1" applyAlignment="1">
      <alignment horizontal="center" vertical="center"/>
    </xf>
    <xf numFmtId="3" fontId="125" fillId="2" borderId="220" xfId="0" applyNumberFormat="1" applyFont="1" applyFill="1" applyBorder="1" applyAlignment="1">
      <alignment horizontal="center" vertical="center"/>
    </xf>
    <xf numFmtId="3" fontId="125" fillId="2" borderId="56" xfId="0" applyNumberFormat="1" applyFont="1" applyFill="1" applyBorder="1" applyAlignment="1">
      <alignment horizontal="center" vertical="center"/>
    </xf>
    <xf numFmtId="3" fontId="47" fillId="2" borderId="45" xfId="0" applyNumberFormat="1" applyFont="1" applyFill="1" applyBorder="1" applyAlignment="1">
      <alignment horizontal="center" vertical="center" wrapText="1"/>
    </xf>
    <xf numFmtId="3" fontId="47" fillId="2" borderId="10" xfId="0" applyNumberFormat="1" applyFont="1" applyFill="1" applyBorder="1" applyAlignment="1">
      <alignment horizontal="center" vertical="center" wrapText="1"/>
    </xf>
    <xf numFmtId="0" fontId="184" fillId="3" borderId="0" xfId="0" applyFont="1" applyFill="1"/>
    <xf numFmtId="0" fontId="45" fillId="3" borderId="0" xfId="0" applyFont="1" applyFill="1"/>
    <xf numFmtId="3" fontId="55" fillId="3" borderId="287" xfId="0" applyNumberFormat="1" applyFont="1" applyFill="1" applyBorder="1" applyAlignment="1">
      <alignment horizontal="center" vertical="center"/>
    </xf>
    <xf numFmtId="0" fontId="104" fillId="3" borderId="275" xfId="0" applyFont="1" applyFill="1" applyBorder="1" applyAlignment="1">
      <alignment horizontal="left" vertical="center" wrapText="1"/>
    </xf>
    <xf numFmtId="0" fontId="158" fillId="2" borderId="275" xfId="0" applyFont="1" applyFill="1" applyBorder="1" applyAlignment="1">
      <alignment horizontal="left" vertical="center" wrapText="1"/>
    </xf>
    <xf numFmtId="0" fontId="159" fillId="2" borderId="275" xfId="0" applyFont="1" applyFill="1" applyBorder="1" applyAlignment="1">
      <alignment horizontal="left" vertical="center" wrapText="1"/>
    </xf>
    <xf numFmtId="0" fontId="104" fillId="0" borderId="275" xfId="0" applyFont="1" applyBorder="1" applyAlignment="1">
      <alignment horizontal="left" vertical="center"/>
    </xf>
    <xf numFmtId="49" fontId="119" fillId="20" borderId="131" xfId="2" applyNumberFormat="1" applyFont="1" applyFill="1" applyBorder="1" applyAlignment="1">
      <alignment horizontal="center" vertical="center" wrapText="1"/>
    </xf>
    <xf numFmtId="49" fontId="119" fillId="33" borderId="151" xfId="2" applyNumberFormat="1" applyFont="1" applyFill="1" applyBorder="1" applyAlignment="1">
      <alignment horizontal="center" vertical="center" wrapText="1"/>
    </xf>
    <xf numFmtId="0" fontId="119" fillId="33" borderId="152" xfId="2" applyFont="1" applyFill="1" applyBorder="1" applyAlignment="1">
      <alignment horizontal="left" vertical="center" wrapText="1"/>
    </xf>
    <xf numFmtId="3" fontId="119" fillId="33" borderId="161" xfId="2" applyNumberFormat="1" applyFont="1" applyFill="1" applyBorder="1" applyAlignment="1">
      <alignment horizontal="center" vertical="center" wrapText="1"/>
    </xf>
    <xf numFmtId="3" fontId="119" fillId="33" borderId="151" xfId="2" applyNumberFormat="1" applyFont="1" applyFill="1" applyBorder="1" applyAlignment="1">
      <alignment horizontal="center" vertical="center" wrapText="1"/>
    </xf>
    <xf numFmtId="3" fontId="119" fillId="33" borderId="153" xfId="2" applyNumberFormat="1" applyFont="1" applyFill="1" applyBorder="1" applyAlignment="1">
      <alignment horizontal="center" vertical="center" wrapText="1"/>
    </xf>
    <xf numFmtId="3" fontId="119" fillId="33" borderId="189" xfId="2" applyNumberFormat="1" applyFont="1" applyFill="1" applyBorder="1" applyAlignment="1">
      <alignment horizontal="center" vertical="center" wrapText="1"/>
    </xf>
    <xf numFmtId="3" fontId="119" fillId="33" borderId="128" xfId="2" applyNumberFormat="1" applyFont="1" applyFill="1" applyBorder="1" applyAlignment="1">
      <alignment horizontal="center" vertical="center" wrapText="1"/>
    </xf>
    <xf numFmtId="3" fontId="119" fillId="33" borderId="171" xfId="2" applyNumberFormat="1" applyFont="1" applyFill="1" applyBorder="1" applyAlignment="1">
      <alignment horizontal="center" vertical="center" wrapText="1"/>
    </xf>
    <xf numFmtId="3" fontId="122" fillId="20" borderId="287" xfId="2" applyNumberFormat="1" applyFont="1" applyFill="1" applyBorder="1" applyAlignment="1">
      <alignment horizontal="center" vertical="center" wrapText="1"/>
    </xf>
    <xf numFmtId="3" fontId="122" fillId="20" borderId="266" xfId="2" applyNumberFormat="1" applyFont="1" applyFill="1" applyBorder="1" applyAlignment="1">
      <alignment horizontal="center" vertical="center" wrapText="1"/>
    </xf>
    <xf numFmtId="3" fontId="122" fillId="20" borderId="267" xfId="2" applyNumberFormat="1" applyFont="1" applyFill="1" applyBorder="1" applyAlignment="1">
      <alignment horizontal="center" vertical="center" wrapText="1"/>
    </xf>
    <xf numFmtId="3" fontId="122" fillId="20" borderId="275" xfId="2" applyNumberFormat="1" applyFont="1" applyFill="1" applyBorder="1" applyAlignment="1">
      <alignment horizontal="center" vertical="center" wrapText="1"/>
    </xf>
    <xf numFmtId="3" fontId="122" fillId="20" borderId="273" xfId="2" applyNumberFormat="1" applyFont="1" applyFill="1" applyBorder="1" applyAlignment="1">
      <alignment horizontal="center" vertical="center" wrapText="1"/>
    </xf>
    <xf numFmtId="3" fontId="19" fillId="3" borderId="2" xfId="0" applyNumberFormat="1" applyFont="1" applyFill="1" applyBorder="1" applyAlignment="1">
      <alignment horizontal="center" vertical="center" wrapText="1"/>
    </xf>
    <xf numFmtId="3" fontId="19" fillId="34" borderId="287" xfId="0" applyNumberFormat="1" applyFont="1" applyFill="1" applyBorder="1" applyAlignment="1" applyProtection="1">
      <alignment horizontal="center" vertical="center" wrapText="1"/>
      <protection locked="0"/>
    </xf>
    <xf numFmtId="3" fontId="19" fillId="34" borderId="267" xfId="0" applyNumberFormat="1" applyFont="1" applyFill="1" applyBorder="1" applyAlignment="1" applyProtection="1">
      <alignment horizontal="center" vertical="center" wrapText="1"/>
      <protection locked="0"/>
    </xf>
    <xf numFmtId="3" fontId="24" fillId="33" borderId="287" xfId="2" applyNumberFormat="1" applyFont="1" applyFill="1" applyBorder="1" applyAlignment="1">
      <alignment horizontal="center" vertical="center" wrapText="1"/>
    </xf>
    <xf numFmtId="3" fontId="24" fillId="33" borderId="267" xfId="2" applyNumberFormat="1" applyFont="1" applyFill="1" applyBorder="1" applyAlignment="1">
      <alignment horizontal="center" vertical="center" wrapText="1"/>
    </xf>
    <xf numFmtId="3" fontId="19" fillId="33" borderId="287" xfId="2" applyNumberFormat="1" applyFont="1" applyFill="1" applyBorder="1" applyAlignment="1">
      <alignment horizontal="center" vertical="center" wrapText="1"/>
    </xf>
    <xf numFmtId="3" fontId="19" fillId="20" borderId="267" xfId="0" applyNumberFormat="1" applyFont="1" applyFill="1" applyBorder="1" applyAlignment="1">
      <alignment horizontal="center" vertical="center" wrapText="1"/>
    </xf>
    <xf numFmtId="3" fontId="19" fillId="3" borderId="287" xfId="0" applyNumberFormat="1" applyFont="1" applyFill="1" applyBorder="1" applyAlignment="1">
      <alignment horizontal="center" vertical="center"/>
    </xf>
    <xf numFmtId="3" fontId="19" fillId="3" borderId="267" xfId="0" applyNumberFormat="1" applyFont="1" applyFill="1" applyBorder="1" applyAlignment="1">
      <alignment horizontal="center" vertical="center"/>
    </xf>
    <xf numFmtId="3" fontId="24" fillId="3" borderId="287" xfId="0" applyNumberFormat="1" applyFont="1" applyFill="1" applyBorder="1" applyAlignment="1">
      <alignment horizontal="center" vertical="center" wrapText="1"/>
    </xf>
    <xf numFmtId="3" fontId="24" fillId="3" borderId="267" xfId="0" applyNumberFormat="1" applyFont="1" applyFill="1" applyBorder="1" applyAlignment="1">
      <alignment horizontal="center" vertical="center" wrapText="1"/>
    </xf>
    <xf numFmtId="3" fontId="22" fillId="3" borderId="267" xfId="0" applyNumberFormat="1" applyFont="1" applyFill="1" applyBorder="1" applyAlignment="1">
      <alignment horizontal="center" vertical="center"/>
    </xf>
    <xf numFmtId="3" fontId="24" fillId="3" borderId="312" xfId="0" applyNumberFormat="1" applyFont="1" applyFill="1" applyBorder="1" applyAlignment="1">
      <alignment horizontal="center" vertical="center"/>
    </xf>
    <xf numFmtId="3" fontId="24" fillId="3" borderId="313" xfId="0" applyNumberFormat="1" applyFont="1" applyFill="1" applyBorder="1" applyAlignment="1">
      <alignment horizontal="center" vertical="center"/>
    </xf>
    <xf numFmtId="0" fontId="24" fillId="8" borderId="264" xfId="2" applyFont="1" applyFill="1" applyBorder="1" applyAlignment="1">
      <alignment horizontal="left" vertical="center" wrapText="1"/>
    </xf>
    <xf numFmtId="0" fontId="10" fillId="8" borderId="311" xfId="2" applyFont="1" applyFill="1" applyBorder="1" applyAlignment="1">
      <alignment horizontal="left" vertical="center" wrapText="1"/>
    </xf>
    <xf numFmtId="0" fontId="10" fillId="21" borderId="52" xfId="2" applyFont="1" applyFill="1" applyBorder="1" applyAlignment="1">
      <alignment horizontal="left" vertical="center" wrapText="1"/>
    </xf>
    <xf numFmtId="49" fontId="44" fillId="33" borderId="264" xfId="2" applyNumberFormat="1" applyFont="1" applyFill="1" applyBorder="1" applyAlignment="1">
      <alignment vertical="center" wrapText="1"/>
    </xf>
    <xf numFmtId="0" fontId="0" fillId="20" borderId="311" xfId="0" applyFill="1" applyBorder="1"/>
    <xf numFmtId="3" fontId="10" fillId="3" borderId="286" xfId="0" applyNumberFormat="1" applyFont="1" applyFill="1" applyBorder="1" applyAlignment="1">
      <alignment horizontal="center" vertical="center"/>
    </xf>
    <xf numFmtId="3" fontId="19" fillId="20" borderId="10" xfId="0" applyNumberFormat="1" applyFont="1" applyFill="1" applyBorder="1" applyAlignment="1">
      <alignment horizontal="center" vertical="center"/>
    </xf>
    <xf numFmtId="3" fontId="25" fillId="20" borderId="286" xfId="0" applyNumberFormat="1" applyFont="1" applyFill="1" applyBorder="1" applyAlignment="1">
      <alignment horizontal="center" vertical="center"/>
    </xf>
    <xf numFmtId="3" fontId="28" fillId="8" borderId="287" xfId="2" applyNumberFormat="1" applyFont="1" applyFill="1" applyBorder="1" applyAlignment="1">
      <alignment horizontal="center" vertical="center" wrapText="1"/>
    </xf>
    <xf numFmtId="3" fontId="9" fillId="8" borderId="287" xfId="5" applyNumberFormat="1" applyFont="1" applyFill="1" applyBorder="1" applyAlignment="1">
      <alignment horizontal="center" vertical="center"/>
    </xf>
    <xf numFmtId="3" fontId="24" fillId="3" borderId="287" xfId="5" applyNumberFormat="1" applyFont="1" applyFill="1" applyBorder="1" applyAlignment="1">
      <alignment horizontal="center" vertical="center"/>
    </xf>
    <xf numFmtId="3" fontId="10" fillId="8" borderId="287" xfId="6" applyNumberFormat="1" applyFont="1" applyFill="1" applyBorder="1" applyAlignment="1">
      <alignment horizontal="center" vertical="center"/>
    </xf>
    <xf numFmtId="3" fontId="19" fillId="21" borderId="287" xfId="6" applyNumberFormat="1" applyFont="1" applyFill="1" applyBorder="1" applyAlignment="1">
      <alignment horizontal="center" vertical="center"/>
    </xf>
    <xf numFmtId="3" fontId="19" fillId="21" borderId="266" xfId="6" applyNumberFormat="1" applyFont="1" applyFill="1" applyBorder="1" applyAlignment="1">
      <alignment horizontal="center" vertical="center"/>
    </xf>
    <xf numFmtId="0" fontId="25" fillId="20" borderId="287" xfId="0" applyFont="1" applyFill="1" applyBorder="1" applyAlignment="1">
      <alignment horizontal="center" vertical="center"/>
    </xf>
    <xf numFmtId="0" fontId="25" fillId="20" borderId="266" xfId="0" applyFont="1" applyFill="1" applyBorder="1" applyAlignment="1">
      <alignment horizontal="center" vertical="center"/>
    </xf>
    <xf numFmtId="3" fontId="25" fillId="20" borderId="312" xfId="0" applyNumberFormat="1" applyFont="1" applyFill="1" applyBorder="1" applyAlignment="1">
      <alignment horizontal="center" vertical="center"/>
    </xf>
    <xf numFmtId="3" fontId="25" fillId="20" borderId="310" xfId="0" applyNumberFormat="1" applyFont="1" applyFill="1" applyBorder="1" applyAlignment="1">
      <alignment horizontal="center" vertical="center"/>
    </xf>
    <xf numFmtId="3" fontId="25" fillId="20" borderId="313" xfId="0" applyNumberFormat="1" applyFont="1" applyFill="1" applyBorder="1" applyAlignment="1">
      <alignment horizontal="center" vertical="center"/>
    </xf>
    <xf numFmtId="3" fontId="79" fillId="20" borderId="312" xfId="0" applyNumberFormat="1" applyFont="1" applyFill="1" applyBorder="1"/>
    <xf numFmtId="3" fontId="79" fillId="20" borderId="310" xfId="0" applyNumberFormat="1" applyFont="1" applyFill="1" applyBorder="1"/>
    <xf numFmtId="3" fontId="79" fillId="20" borderId="313" xfId="0" applyNumberFormat="1" applyFont="1" applyFill="1" applyBorder="1"/>
    <xf numFmtId="3" fontId="79" fillId="20" borderId="286" xfId="0" applyNumberFormat="1" applyFont="1" applyFill="1" applyBorder="1"/>
    <xf numFmtId="0" fontId="0" fillId="20" borderId="314" xfId="0" applyFill="1" applyBorder="1"/>
    <xf numFmtId="1" fontId="62" fillId="0" borderId="0" xfId="0" applyNumberFormat="1" applyFont="1"/>
    <xf numFmtId="0" fontId="46" fillId="2" borderId="57" xfId="0" applyFont="1" applyFill="1" applyBorder="1" applyAlignment="1">
      <alignment horizontal="center" vertical="center" wrapText="1"/>
    </xf>
    <xf numFmtId="1" fontId="46" fillId="2" borderId="10" xfId="0" applyNumberFormat="1" applyFont="1" applyFill="1" applyBorder="1" applyAlignment="1">
      <alignment horizontal="center" vertical="center" wrapText="1"/>
    </xf>
    <xf numFmtId="49" fontId="47" fillId="2" borderId="11" xfId="0" applyNumberFormat="1" applyFont="1" applyFill="1" applyBorder="1" applyAlignment="1">
      <alignment horizontal="center" vertical="center" wrapText="1"/>
    </xf>
    <xf numFmtId="0" fontId="114" fillId="2" borderId="70" xfId="0" applyFont="1" applyFill="1" applyBorder="1" applyAlignment="1">
      <alignment horizontal="left" vertical="center" wrapText="1"/>
    </xf>
    <xf numFmtId="3" fontId="47" fillId="2" borderId="11" xfId="0" applyNumberFormat="1" applyFont="1" applyFill="1" applyBorder="1" applyAlignment="1">
      <alignment horizontal="left" vertical="center" wrapText="1"/>
    </xf>
    <xf numFmtId="3" fontId="47" fillId="2" borderId="44" xfId="0" applyNumberFormat="1" applyFont="1" applyFill="1" applyBorder="1" applyAlignment="1">
      <alignment horizontal="center" vertical="center" wrapText="1"/>
    </xf>
    <xf numFmtId="3" fontId="47" fillId="2" borderId="76" xfId="0" applyNumberFormat="1" applyFont="1" applyFill="1" applyBorder="1" applyAlignment="1">
      <alignment horizontal="center" vertical="center" wrapText="1"/>
    </xf>
    <xf numFmtId="3" fontId="47" fillId="2" borderId="77" xfId="0" applyNumberFormat="1" applyFont="1" applyFill="1" applyBorder="1" applyAlignment="1">
      <alignment horizontal="center" vertical="center" wrapText="1"/>
    </xf>
    <xf numFmtId="3" fontId="47" fillId="2" borderId="5" xfId="0" applyNumberFormat="1" applyFont="1" applyFill="1" applyBorder="1" applyAlignment="1">
      <alignment horizontal="center" vertical="center" wrapText="1"/>
    </xf>
    <xf numFmtId="0" fontId="47" fillId="2" borderId="136" xfId="0" applyFont="1" applyFill="1" applyBorder="1" applyAlignment="1">
      <alignment horizontal="center" vertical="center"/>
    </xf>
    <xf numFmtId="1" fontId="47" fillId="2" borderId="126" xfId="0" applyNumberFormat="1" applyFont="1" applyFill="1" applyBorder="1" applyAlignment="1">
      <alignment horizontal="center" vertical="center"/>
    </xf>
    <xf numFmtId="49" fontId="47" fillId="2" borderId="125" xfId="0" applyNumberFormat="1" applyFont="1" applyFill="1" applyBorder="1" applyAlignment="1">
      <alignment horizontal="center" vertical="center"/>
    </xf>
    <xf numFmtId="0" fontId="46" fillId="2" borderId="127" xfId="0" applyFont="1" applyFill="1" applyBorder="1" applyAlignment="1">
      <alignment horizontal="center" vertical="center" wrapText="1"/>
    </xf>
    <xf numFmtId="3" fontId="47" fillId="2" borderId="125" xfId="0" applyNumberFormat="1" applyFont="1" applyFill="1" applyBorder="1" applyAlignment="1">
      <alignment horizontal="center" vertical="center" wrapText="1"/>
    </xf>
    <xf numFmtId="0" fontId="47" fillId="2" borderId="127" xfId="0" applyFont="1" applyFill="1" applyBorder="1" applyAlignment="1">
      <alignment horizontal="center" vertical="center" wrapText="1"/>
    </xf>
    <xf numFmtId="3" fontId="47" fillId="2" borderId="128" xfId="0" applyNumberFormat="1" applyFont="1" applyFill="1" applyBorder="1" applyAlignment="1">
      <alignment horizontal="center" vertical="center" wrapText="1"/>
    </xf>
    <xf numFmtId="3" fontId="47" fillId="2" borderId="153" xfId="0" applyNumberFormat="1" applyFont="1" applyFill="1" applyBorder="1" applyAlignment="1">
      <alignment horizontal="center" vertical="center" wrapText="1"/>
    </xf>
    <xf numFmtId="3" fontId="47" fillId="2" borderId="265" xfId="0" applyNumberFormat="1" applyFont="1" applyFill="1" applyBorder="1" applyAlignment="1">
      <alignment horizontal="center" vertical="center" wrapText="1"/>
    </xf>
    <xf numFmtId="3" fontId="47" fillId="2" borderId="267" xfId="0" applyNumberFormat="1" applyFont="1" applyFill="1" applyBorder="1" applyAlignment="1">
      <alignment horizontal="center" vertical="center" wrapText="1"/>
    </xf>
    <xf numFmtId="3" fontId="47" fillId="2" borderId="137" xfId="0" applyNumberFormat="1" applyFont="1" applyFill="1" applyBorder="1" applyAlignment="1">
      <alignment horizontal="center" vertical="center" wrapText="1"/>
    </xf>
    <xf numFmtId="0" fontId="46" fillId="2" borderId="136" xfId="0" applyFont="1" applyFill="1" applyBorder="1" applyAlignment="1">
      <alignment horizontal="center" vertical="center"/>
    </xf>
    <xf numFmtId="1" fontId="46" fillId="2" borderId="126" xfId="0" applyNumberFormat="1" applyFont="1" applyFill="1" applyBorder="1" applyAlignment="1">
      <alignment horizontal="center" vertical="center"/>
    </xf>
    <xf numFmtId="0" fontId="114" fillId="2" borderId="0" xfId="0" applyFont="1" applyFill="1" applyBorder="1" applyAlignment="1">
      <alignment horizontal="center" vertical="center" wrapText="1"/>
    </xf>
    <xf numFmtId="3" fontId="47" fillId="2" borderId="125" xfId="0" applyNumberFormat="1" applyFont="1" applyFill="1" applyBorder="1" applyAlignment="1">
      <alignment horizontal="left" vertical="center" wrapText="1"/>
    </xf>
    <xf numFmtId="3" fontId="47" fillId="2" borderId="138" xfId="0" applyNumberFormat="1" applyFont="1" applyFill="1" applyBorder="1" applyAlignment="1">
      <alignment horizontal="center" vertical="center" wrapText="1"/>
    </xf>
    <xf numFmtId="3" fontId="47" fillId="2" borderId="139" xfId="0" applyNumberFormat="1" applyFont="1" applyFill="1" applyBorder="1" applyAlignment="1">
      <alignment horizontal="center" vertical="center" wrapText="1"/>
    </xf>
    <xf numFmtId="3" fontId="47" fillId="2" borderId="253" xfId="0" applyNumberFormat="1" applyFont="1" applyFill="1" applyBorder="1" applyAlignment="1">
      <alignment horizontal="center" vertical="center" wrapText="1"/>
    </xf>
    <xf numFmtId="3" fontId="47" fillId="2" borderId="255" xfId="0" applyNumberFormat="1" applyFont="1" applyFill="1" applyBorder="1" applyAlignment="1">
      <alignment horizontal="center" vertical="center" wrapText="1"/>
    </xf>
    <xf numFmtId="3" fontId="47" fillId="2" borderId="137" xfId="0" applyNumberFormat="1" applyFont="1" applyFill="1" applyBorder="1" applyAlignment="1">
      <alignment horizontal="center" vertical="center"/>
    </xf>
    <xf numFmtId="0" fontId="46" fillId="2" borderId="72" xfId="0" applyFont="1" applyFill="1" applyBorder="1" applyAlignment="1">
      <alignment horizontal="center" vertical="center"/>
    </xf>
    <xf numFmtId="1" fontId="46" fillId="2" borderId="73" xfId="0" applyNumberFormat="1" applyFont="1" applyFill="1" applyBorder="1" applyAlignment="1">
      <alignment horizontal="center" vertical="center"/>
    </xf>
    <xf numFmtId="0" fontId="47" fillId="2" borderId="74" xfId="0" applyFont="1" applyFill="1" applyBorder="1" applyAlignment="1">
      <alignment horizontal="left" vertical="center" wrapText="1"/>
    </xf>
    <xf numFmtId="3" fontId="47" fillId="2" borderId="75" xfId="0" applyNumberFormat="1" applyFont="1" applyFill="1" applyBorder="1" applyAlignment="1">
      <alignment horizontal="left" vertical="center" wrapText="1"/>
    </xf>
    <xf numFmtId="3" fontId="47" fillId="2" borderId="63" xfId="0" applyNumberFormat="1" applyFont="1" applyFill="1" applyBorder="1" applyAlignment="1">
      <alignment horizontal="center" vertical="center" wrapText="1"/>
    </xf>
    <xf numFmtId="3" fontId="47" fillId="2" borderId="62" xfId="0" applyNumberFormat="1" applyFont="1" applyFill="1" applyBorder="1" applyAlignment="1">
      <alignment horizontal="center" vertical="center" wrapText="1"/>
    </xf>
    <xf numFmtId="3" fontId="47" fillId="2" borderId="75" xfId="0" applyNumberFormat="1" applyFont="1" applyFill="1" applyBorder="1" applyAlignment="1">
      <alignment horizontal="center" vertical="center" wrapText="1"/>
    </xf>
    <xf numFmtId="3" fontId="47" fillId="2" borderId="96" xfId="0" applyNumberFormat="1" applyFont="1" applyFill="1" applyBorder="1" applyAlignment="1">
      <alignment horizontal="center" vertical="center" wrapText="1"/>
    </xf>
    <xf numFmtId="0" fontId="46" fillId="3" borderId="78" xfId="0" applyFont="1" applyFill="1" applyBorder="1" applyAlignment="1">
      <alignment horizontal="center" vertical="center"/>
    </xf>
    <xf numFmtId="1" fontId="46" fillId="3" borderId="192" xfId="0" applyNumberFormat="1" applyFont="1" applyFill="1" applyBorder="1" applyAlignment="1">
      <alignment horizontal="center" vertical="center"/>
    </xf>
    <xf numFmtId="49" fontId="47" fillId="3" borderId="125" xfId="0" applyNumberFormat="1" applyFont="1" applyFill="1" applyBorder="1" applyAlignment="1">
      <alignment horizontal="center" vertical="center"/>
    </xf>
    <xf numFmtId="0" fontId="59" fillId="3" borderId="79" xfId="0" applyFont="1" applyFill="1" applyBorder="1" applyAlignment="1">
      <alignment horizontal="left" vertical="center" wrapText="1"/>
    </xf>
    <xf numFmtId="3" fontId="59" fillId="3" borderId="47" xfId="0" applyNumberFormat="1" applyFont="1" applyFill="1" applyBorder="1" applyAlignment="1">
      <alignment horizontal="left" vertical="center" wrapText="1"/>
    </xf>
    <xf numFmtId="3" fontId="59" fillId="3" borderId="63" xfId="0" applyNumberFormat="1" applyFont="1" applyFill="1" applyBorder="1" applyAlignment="1">
      <alignment horizontal="center" vertical="center" wrapText="1"/>
    </xf>
    <xf numFmtId="3" fontId="84" fillId="3" borderId="62" xfId="0" applyNumberFormat="1" applyFont="1" applyFill="1" applyBorder="1" applyAlignment="1">
      <alignment horizontal="center" vertical="center" wrapText="1"/>
    </xf>
    <xf numFmtId="3" fontId="59" fillId="3" borderId="263" xfId="0" applyNumberFormat="1" applyFont="1" applyFill="1" applyBorder="1" applyAlignment="1">
      <alignment horizontal="center" vertical="center" wrapText="1"/>
    </xf>
    <xf numFmtId="3" fontId="84" fillId="3" borderId="267" xfId="0" applyNumberFormat="1" applyFont="1" applyFill="1" applyBorder="1" applyAlignment="1">
      <alignment horizontal="center" vertical="center" wrapText="1"/>
    </xf>
    <xf numFmtId="3" fontId="59" fillId="3" borderId="137" xfId="0" applyNumberFormat="1" applyFont="1" applyFill="1" applyBorder="1" applyAlignment="1">
      <alignment horizontal="center" vertical="center" wrapText="1"/>
    </xf>
    <xf numFmtId="1" fontId="46" fillId="3" borderId="125" xfId="0" applyNumberFormat="1" applyFont="1" applyFill="1" applyBorder="1" applyAlignment="1">
      <alignment horizontal="center" vertical="center"/>
    </xf>
    <xf numFmtId="49" fontId="46" fillId="3" borderId="125" xfId="0" applyNumberFormat="1" applyFont="1" applyFill="1" applyBorder="1" applyAlignment="1">
      <alignment horizontal="center" vertical="center"/>
    </xf>
    <xf numFmtId="0" fontId="46" fillId="3" borderId="127" xfId="0" applyFont="1" applyFill="1" applyBorder="1" applyAlignment="1">
      <alignment horizontal="left" vertical="center" wrapText="1"/>
    </xf>
    <xf numFmtId="3" fontId="46" fillId="3" borderId="126" xfId="0" applyNumberFormat="1" applyFont="1" applyFill="1" applyBorder="1" applyAlignment="1">
      <alignment horizontal="left" vertical="center" wrapText="1"/>
    </xf>
    <xf numFmtId="3" fontId="46" fillId="3" borderId="128" xfId="0" applyNumberFormat="1" applyFont="1" applyFill="1" applyBorder="1" applyAlignment="1">
      <alignment horizontal="center" vertical="center" wrapText="1"/>
    </xf>
    <xf numFmtId="3" fontId="46" fillId="3" borderId="130" xfId="0" applyNumberFormat="1" applyFont="1" applyFill="1" applyBorder="1" applyAlignment="1">
      <alignment horizontal="center" vertical="center"/>
    </xf>
    <xf numFmtId="3" fontId="46" fillId="3" borderId="265" xfId="0" applyNumberFormat="1" applyFont="1" applyFill="1" applyBorder="1" applyAlignment="1">
      <alignment horizontal="center" vertical="center" wrapText="1"/>
    </xf>
    <xf numFmtId="3" fontId="46" fillId="3" borderId="137" xfId="0" applyNumberFormat="1" applyFont="1" applyFill="1" applyBorder="1" applyAlignment="1">
      <alignment horizontal="center" vertical="center" wrapText="1"/>
    </xf>
    <xf numFmtId="1" fontId="46" fillId="14" borderId="125" xfId="0" applyNumberFormat="1" applyFont="1" applyFill="1" applyBorder="1" applyAlignment="1">
      <alignment horizontal="center" vertical="center"/>
    </xf>
    <xf numFmtId="3" fontId="46" fillId="3" borderId="130" xfId="0" applyNumberFormat="1" applyFont="1" applyFill="1" applyBorder="1" applyAlignment="1">
      <alignment horizontal="center" vertical="center" wrapText="1"/>
    </xf>
    <xf numFmtId="49" fontId="46" fillId="3" borderId="127" xfId="0" applyNumberFormat="1" applyFont="1" applyFill="1" applyBorder="1" applyAlignment="1" applyProtection="1">
      <alignment horizontal="left" vertical="center" wrapText="1"/>
      <protection locked="0"/>
    </xf>
    <xf numFmtId="3" fontId="46" fillId="3" borderId="127" xfId="0" applyNumberFormat="1" applyFont="1" applyFill="1" applyBorder="1" applyAlignment="1">
      <alignment horizontal="left" vertical="center" wrapText="1"/>
    </xf>
    <xf numFmtId="49" fontId="140" fillId="3" borderId="125" xfId="0" applyNumberFormat="1" applyFont="1" applyFill="1" applyBorder="1" applyAlignment="1">
      <alignment horizontal="center" vertical="center"/>
    </xf>
    <xf numFmtId="1" fontId="46" fillId="3" borderId="105" xfId="0" applyNumberFormat="1" applyFont="1" applyFill="1" applyBorder="1" applyAlignment="1">
      <alignment horizontal="center" vertical="center"/>
    </xf>
    <xf numFmtId="49" fontId="46" fillId="3" borderId="101" xfId="0" applyNumberFormat="1" applyFont="1" applyFill="1" applyBorder="1" applyAlignment="1" applyProtection="1">
      <alignment horizontal="left" vertical="center" wrapText="1"/>
      <protection locked="0"/>
    </xf>
    <xf numFmtId="3" fontId="83" fillId="3" borderId="130" xfId="0" applyNumberFormat="1" applyFont="1" applyFill="1" applyBorder="1" applyAlignment="1">
      <alignment horizontal="center" vertical="center" wrapText="1"/>
    </xf>
    <xf numFmtId="3" fontId="83" fillId="3" borderId="267" xfId="0" applyNumberFormat="1" applyFont="1" applyFill="1" applyBorder="1" applyAlignment="1">
      <alignment horizontal="center" vertical="center" wrapText="1"/>
    </xf>
    <xf numFmtId="3" fontId="46" fillId="3" borderId="100" xfId="0" applyNumberFormat="1" applyFont="1" applyFill="1" applyBorder="1" applyAlignment="1">
      <alignment horizontal="left" vertical="center" wrapText="1"/>
    </xf>
    <xf numFmtId="49" fontId="46" fillId="3" borderId="100" xfId="0" applyNumberFormat="1" applyFont="1" applyFill="1" applyBorder="1" applyAlignment="1" applyProtection="1">
      <alignment horizontal="left" vertical="center" wrapText="1"/>
      <protection locked="0"/>
    </xf>
    <xf numFmtId="49" fontId="46" fillId="4" borderId="100" xfId="0" applyNumberFormat="1" applyFont="1" applyFill="1" applyBorder="1" applyAlignment="1" applyProtection="1">
      <alignment horizontal="left" vertical="center" wrapText="1"/>
      <protection locked="0"/>
    </xf>
    <xf numFmtId="3" fontId="46" fillId="4" borderId="125" xfId="0" applyNumberFormat="1" applyFont="1" applyFill="1" applyBorder="1" applyAlignment="1">
      <alignment horizontal="left" vertical="center" wrapText="1"/>
    </xf>
    <xf numFmtId="3" fontId="46" fillId="3" borderId="102" xfId="0" applyNumberFormat="1" applyFont="1" applyFill="1" applyBorder="1" applyAlignment="1">
      <alignment horizontal="center" vertical="center" wrapText="1"/>
    </xf>
    <xf numFmtId="3" fontId="46" fillId="4" borderId="128" xfId="0" applyNumberFormat="1" applyFont="1" applyFill="1" applyBorder="1" applyAlignment="1">
      <alignment horizontal="center" vertical="center" wrapText="1"/>
    </xf>
    <xf numFmtId="3" fontId="46" fillId="0" borderId="102" xfId="0" applyNumberFormat="1" applyFont="1" applyBorder="1" applyAlignment="1">
      <alignment horizontal="center" vertical="center" wrapText="1"/>
    </xf>
    <xf numFmtId="3" fontId="46" fillId="4" borderId="265" xfId="0" applyNumberFormat="1" applyFont="1" applyFill="1" applyBorder="1" applyAlignment="1">
      <alignment horizontal="center" vertical="center" wrapText="1"/>
    </xf>
    <xf numFmtId="3" fontId="46" fillId="0" borderId="267" xfId="0" applyNumberFormat="1" applyFont="1" applyBorder="1" applyAlignment="1">
      <alignment horizontal="center" vertical="center" wrapText="1"/>
    </xf>
    <xf numFmtId="0" fontId="46" fillId="3" borderId="104" xfId="0" applyFont="1" applyFill="1" applyBorder="1" applyAlignment="1">
      <alignment horizontal="center" vertical="center"/>
    </xf>
    <xf numFmtId="49" fontId="46" fillId="3" borderId="105" xfId="0" applyNumberFormat="1" applyFont="1" applyFill="1" applyBorder="1" applyAlignment="1">
      <alignment horizontal="center" vertical="center"/>
    </xf>
    <xf numFmtId="3" fontId="46" fillId="4" borderId="105" xfId="0" applyNumberFormat="1" applyFont="1" applyFill="1" applyBorder="1" applyAlignment="1">
      <alignment horizontal="left" vertical="center" wrapText="1"/>
    </xf>
    <xf numFmtId="3" fontId="46" fillId="4" borderId="202" xfId="0" applyNumberFormat="1" applyFont="1" applyFill="1" applyBorder="1" applyAlignment="1">
      <alignment horizontal="center" vertical="center" wrapText="1"/>
    </xf>
    <xf numFmtId="3" fontId="46" fillId="4" borderId="260" xfId="0" applyNumberFormat="1" applyFont="1" applyFill="1" applyBorder="1" applyAlignment="1">
      <alignment horizontal="center" vertical="center" wrapText="1"/>
    </xf>
    <xf numFmtId="3" fontId="46" fillId="0" borderId="261" xfId="0" applyNumberFormat="1" applyFont="1" applyBorder="1" applyAlignment="1">
      <alignment horizontal="center" vertical="center" wrapText="1"/>
    </xf>
    <xf numFmtId="0" fontId="46" fillId="1" borderId="82" xfId="0" applyFont="1" applyFill="1" applyBorder="1" applyAlignment="1">
      <alignment horizontal="center" vertical="center"/>
    </xf>
    <xf numFmtId="1" fontId="46" fillId="1" borderId="83" xfId="0" applyNumberFormat="1" applyFont="1" applyFill="1" applyBorder="1" applyAlignment="1">
      <alignment horizontal="center" vertical="center"/>
    </xf>
    <xf numFmtId="49" fontId="46" fillId="1" borderId="83" xfId="0" applyNumberFormat="1" applyFont="1" applyFill="1" applyBorder="1" applyAlignment="1">
      <alignment horizontal="center" vertical="center"/>
    </xf>
    <xf numFmtId="0" fontId="47" fillId="1" borderId="83" xfId="0" applyFont="1" applyFill="1" applyBorder="1" applyAlignment="1">
      <alignment horizontal="left" vertical="center" wrapText="1"/>
    </xf>
    <xf numFmtId="0" fontId="46" fillId="1" borderId="83" xfId="0" applyFont="1" applyFill="1" applyBorder="1" applyAlignment="1">
      <alignment horizontal="left" vertical="center" wrapText="1"/>
    </xf>
    <xf numFmtId="3" fontId="46" fillId="1" borderId="83" xfId="0" applyNumberFormat="1" applyFont="1" applyFill="1" applyBorder="1" applyAlignment="1">
      <alignment horizontal="center" vertical="center"/>
    </xf>
    <xf numFmtId="3" fontId="46" fillId="1" borderId="0" xfId="0" applyNumberFormat="1" applyFont="1" applyFill="1" applyBorder="1" applyAlignment="1">
      <alignment horizontal="center" vertical="center"/>
    </xf>
    <xf numFmtId="0" fontId="46" fillId="2" borderId="72" xfId="0" applyFont="1" applyFill="1" applyBorder="1" applyAlignment="1">
      <alignment horizontal="center" vertical="center" wrapText="1"/>
    </xf>
    <xf numFmtId="1" fontId="46" fillId="2" borderId="80" xfId="0" applyNumberFormat="1" applyFont="1" applyFill="1" applyBorder="1" applyAlignment="1">
      <alignment horizontal="center" vertical="center" wrapText="1"/>
    </xf>
    <xf numFmtId="49" fontId="47" fillId="2" borderId="73" xfId="0" applyNumberFormat="1" applyFont="1" applyFill="1" applyBorder="1" applyAlignment="1">
      <alignment horizontal="center" vertical="center" wrapText="1"/>
    </xf>
    <xf numFmtId="3" fontId="47" fillId="2" borderId="80" xfId="0" applyNumberFormat="1" applyFont="1" applyFill="1" applyBorder="1" applyAlignment="1">
      <alignment horizontal="left" vertical="center" wrapText="1"/>
    </xf>
    <xf numFmtId="0" fontId="46" fillId="3" borderId="78" xfId="0" applyFont="1" applyFill="1" applyBorder="1" applyAlignment="1">
      <alignment horizontal="center" vertical="center" wrapText="1"/>
    </xf>
    <xf numFmtId="1" fontId="46" fillId="3" borderId="81" xfId="0" applyNumberFormat="1" applyFont="1" applyFill="1" applyBorder="1" applyAlignment="1">
      <alignment horizontal="center" vertical="center" wrapText="1"/>
    </xf>
    <xf numFmtId="49" fontId="47" fillId="3" borderId="192" xfId="0" applyNumberFormat="1" applyFont="1" applyFill="1" applyBorder="1" applyAlignment="1">
      <alignment horizontal="center" vertical="center" wrapText="1"/>
    </xf>
    <xf numFmtId="3" fontId="46" fillId="3" borderId="134" xfId="0" applyNumberFormat="1" applyFont="1" applyFill="1" applyBorder="1" applyAlignment="1">
      <alignment horizontal="left" vertical="center" wrapText="1"/>
    </xf>
    <xf numFmtId="3" fontId="47" fillId="3" borderId="47" xfId="0" applyNumberFormat="1" applyFont="1" applyFill="1" applyBorder="1" applyAlignment="1">
      <alignment horizontal="center" vertical="center" wrapText="1"/>
    </xf>
    <xf numFmtId="3" fontId="47" fillId="3" borderId="63" xfId="0" applyNumberFormat="1" applyFont="1" applyFill="1" applyBorder="1" applyAlignment="1">
      <alignment horizontal="center" vertical="center" wrapText="1"/>
    </xf>
    <xf numFmtId="3" fontId="46" fillId="3" borderId="62" xfId="0" applyNumberFormat="1" applyFont="1" applyFill="1" applyBorder="1" applyAlignment="1">
      <alignment horizontal="center" vertical="center" wrapText="1"/>
    </xf>
    <xf numFmtId="1" fontId="46" fillId="3" borderId="134" xfId="0" applyNumberFormat="1" applyFont="1" applyFill="1" applyBorder="1" applyAlignment="1">
      <alignment horizontal="center" vertical="center" wrapText="1"/>
    </xf>
    <xf numFmtId="1" fontId="46" fillId="14" borderId="134" xfId="0" applyNumberFormat="1" applyFont="1" applyFill="1" applyBorder="1" applyAlignment="1">
      <alignment horizontal="center" vertical="center" wrapText="1"/>
    </xf>
    <xf numFmtId="49" fontId="140" fillId="3" borderId="125" xfId="0" applyNumberFormat="1" applyFont="1" applyFill="1" applyBorder="1"/>
    <xf numFmtId="49" fontId="46" fillId="3" borderId="125" xfId="0" applyNumberFormat="1" applyFont="1" applyFill="1" applyBorder="1" applyAlignment="1">
      <alignment horizontal="center" vertical="center" wrapText="1"/>
    </xf>
    <xf numFmtId="1" fontId="46" fillId="12" borderId="134" xfId="0" applyNumberFormat="1" applyFont="1" applyFill="1" applyBorder="1" applyAlignment="1">
      <alignment horizontal="center" vertical="center" wrapText="1"/>
    </xf>
    <xf numFmtId="3" fontId="140" fillId="3" borderId="267" xfId="0" applyNumberFormat="1" applyFont="1" applyFill="1" applyBorder="1" applyAlignment="1">
      <alignment horizontal="center" vertical="center"/>
    </xf>
    <xf numFmtId="1" fontId="46" fillId="3" borderId="103" xfId="0" applyNumberFormat="1" applyFont="1" applyFill="1" applyBorder="1" applyAlignment="1">
      <alignment horizontal="center" vertical="center" wrapText="1"/>
    </xf>
    <xf numFmtId="0" fontId="46" fillId="3" borderId="106" xfId="8" applyFont="1" applyFill="1" applyBorder="1" applyAlignment="1">
      <alignment horizontal="left" vertical="center" wrapText="1"/>
    </xf>
    <xf numFmtId="3" fontId="46" fillId="4" borderId="287" xfId="0" applyNumberFormat="1" applyFont="1" applyFill="1" applyBorder="1" applyAlignment="1">
      <alignment horizontal="center" vertical="center" wrapText="1"/>
    </xf>
    <xf numFmtId="3" fontId="46" fillId="4" borderId="267" xfId="0" applyNumberFormat="1" applyFont="1" applyFill="1" applyBorder="1" applyAlignment="1">
      <alignment horizontal="center" vertical="center" wrapText="1"/>
    </xf>
    <xf numFmtId="49" fontId="46" fillId="3" borderId="107" xfId="8" applyNumberFormat="1" applyFont="1" applyFill="1" applyBorder="1" applyAlignment="1" applyProtection="1">
      <alignment horizontal="left" vertical="center" wrapText="1"/>
      <protection locked="0"/>
    </xf>
    <xf numFmtId="1" fontId="46" fillId="3" borderId="174" xfId="0" applyNumberFormat="1" applyFont="1" applyFill="1" applyBorder="1" applyAlignment="1">
      <alignment horizontal="center" vertical="center" wrapText="1"/>
    </xf>
    <xf numFmtId="49" fontId="46" fillId="3" borderId="157" xfId="0" applyNumberFormat="1" applyFont="1" applyFill="1" applyBorder="1" applyAlignment="1">
      <alignment horizontal="center" vertical="center" wrapText="1"/>
    </xf>
    <xf numFmtId="0" fontId="46" fillId="4" borderId="157" xfId="0" applyFont="1" applyFill="1" applyBorder="1" applyAlignment="1">
      <alignment horizontal="left" vertical="center" wrapText="1"/>
    </xf>
    <xf numFmtId="3" fontId="46" fillId="4" borderId="157" xfId="0" applyNumberFormat="1" applyFont="1" applyFill="1" applyBorder="1" applyAlignment="1">
      <alignment horizontal="left" vertical="center" wrapText="1"/>
    </xf>
    <xf numFmtId="3" fontId="46" fillId="3" borderId="262" xfId="0" applyNumberFormat="1" applyFont="1" applyFill="1" applyBorder="1" applyAlignment="1">
      <alignment horizontal="center" vertical="center" wrapText="1"/>
    </xf>
    <xf numFmtId="3" fontId="46" fillId="3" borderId="97" xfId="0" applyNumberFormat="1" applyFont="1" applyFill="1" applyBorder="1" applyAlignment="1">
      <alignment horizontal="center" vertical="center" wrapText="1"/>
    </xf>
    <xf numFmtId="0" fontId="46" fillId="3" borderId="123" xfId="0" applyFont="1" applyFill="1" applyBorder="1" applyAlignment="1">
      <alignment horizontal="center" vertical="center" wrapText="1"/>
    </xf>
    <xf numFmtId="1" fontId="46" fillId="3" borderId="123" xfId="0" applyNumberFormat="1" applyFont="1" applyFill="1" applyBorder="1" applyAlignment="1">
      <alignment horizontal="center" vertical="center" wrapText="1"/>
    </xf>
    <xf numFmtId="49" fontId="46" fillId="3" borderId="123" xfId="0" applyNumberFormat="1" applyFont="1" applyFill="1" applyBorder="1" applyAlignment="1">
      <alignment horizontal="center" vertical="center" wrapText="1"/>
    </xf>
    <xf numFmtId="0" fontId="46" fillId="4" borderId="124" xfId="0" applyFont="1" applyFill="1" applyBorder="1" applyAlignment="1">
      <alignment horizontal="left" vertical="center" wrapText="1"/>
    </xf>
    <xf numFmtId="3" fontId="46" fillId="4" borderId="175" xfId="0" applyNumberFormat="1" applyFont="1" applyFill="1" applyBorder="1" applyAlignment="1">
      <alignment horizontal="left" vertical="center" wrapText="1"/>
    </xf>
    <xf numFmtId="3" fontId="46" fillId="4" borderId="312" xfId="0" applyNumberFormat="1" applyFont="1" applyFill="1" applyBorder="1" applyAlignment="1">
      <alignment horizontal="center" vertical="center" wrapText="1"/>
    </xf>
    <xf numFmtId="3" fontId="46" fillId="4" borderId="313" xfId="0" applyNumberFormat="1" applyFont="1" applyFill="1" applyBorder="1" applyAlignment="1">
      <alignment horizontal="center" vertical="center" wrapText="1"/>
    </xf>
    <xf numFmtId="3" fontId="46" fillId="3" borderId="220" xfId="0" applyNumberFormat="1" applyFont="1" applyFill="1" applyBorder="1" applyAlignment="1">
      <alignment horizontal="center" vertical="center" wrapText="1"/>
    </xf>
    <xf numFmtId="3" fontId="46" fillId="4" borderId="261" xfId="0" applyNumberFormat="1" applyFont="1" applyFill="1" applyBorder="1" applyAlignment="1">
      <alignment horizontal="center" vertical="center" wrapText="1"/>
    </xf>
    <xf numFmtId="3" fontId="46" fillId="3" borderId="122" xfId="0" applyNumberFormat="1" applyFont="1" applyFill="1" applyBorder="1" applyAlignment="1">
      <alignment horizontal="center" vertical="center" wrapText="1"/>
    </xf>
    <xf numFmtId="0" fontId="46" fillId="1" borderId="78" xfId="0" applyFont="1" applyFill="1" applyBorder="1" applyAlignment="1">
      <alignment horizontal="center" vertical="center"/>
    </xf>
    <xf numFmtId="1" fontId="46" fillId="1" borderId="47" xfId="0" applyNumberFormat="1" applyFont="1" applyFill="1" applyBorder="1" applyAlignment="1">
      <alignment horizontal="center" vertical="center"/>
    </xf>
    <xf numFmtId="49" fontId="46" fillId="1" borderId="0" xfId="0" applyNumberFormat="1" applyFont="1" applyFill="1" applyBorder="1" applyAlignment="1">
      <alignment horizontal="center" vertical="center"/>
    </xf>
    <xf numFmtId="0" fontId="47" fillId="1" borderId="47" xfId="0" applyFont="1" applyFill="1" applyBorder="1" applyAlignment="1">
      <alignment horizontal="left" vertical="center" wrapText="1"/>
    </xf>
    <xf numFmtId="0" fontId="46" fillId="1" borderId="47" xfId="0" applyFont="1" applyFill="1" applyBorder="1" applyAlignment="1">
      <alignment horizontal="left" vertical="center" wrapText="1"/>
    </xf>
    <xf numFmtId="3" fontId="46" fillId="1" borderId="47" xfId="0" applyNumberFormat="1" applyFont="1" applyFill="1" applyBorder="1" applyAlignment="1">
      <alignment horizontal="center" vertical="center"/>
    </xf>
    <xf numFmtId="0" fontId="46" fillId="19" borderId="72" xfId="0" applyFont="1" applyFill="1" applyBorder="1" applyAlignment="1">
      <alignment horizontal="center" vertical="center" wrapText="1"/>
    </xf>
    <xf numFmtId="1" fontId="46" fillId="19" borderId="73" xfId="0" applyNumberFormat="1" applyFont="1" applyFill="1" applyBorder="1" applyAlignment="1">
      <alignment horizontal="center" vertical="center" wrapText="1"/>
    </xf>
    <xf numFmtId="49" fontId="47" fillId="19" borderId="73" xfId="0" applyNumberFormat="1" applyFont="1" applyFill="1" applyBorder="1" applyAlignment="1">
      <alignment horizontal="center" vertical="center" wrapText="1"/>
    </xf>
    <xf numFmtId="0" fontId="47" fillId="19" borderId="75" xfId="0" applyFont="1" applyFill="1" applyBorder="1" applyAlignment="1">
      <alignment horizontal="left" vertical="center" wrapText="1"/>
    </xf>
    <xf numFmtId="3" fontId="47" fillId="19" borderId="80" xfId="0" applyNumberFormat="1" applyFont="1" applyFill="1" applyBorder="1" applyAlignment="1">
      <alignment horizontal="left" vertical="center" wrapText="1"/>
    </xf>
    <xf numFmtId="3" fontId="47" fillId="19" borderId="76" xfId="0" applyNumberFormat="1" applyFont="1" applyFill="1" applyBorder="1" applyAlignment="1">
      <alignment horizontal="center" vertical="center" wrapText="1"/>
    </xf>
    <xf numFmtId="3" fontId="47" fillId="19" borderId="77" xfId="0" applyNumberFormat="1" applyFont="1" applyFill="1" applyBorder="1" applyAlignment="1">
      <alignment horizontal="center" vertical="center" wrapText="1"/>
    </xf>
    <xf numFmtId="3" fontId="47" fillId="19" borderId="75" xfId="0" applyNumberFormat="1" applyFont="1" applyFill="1" applyBorder="1" applyAlignment="1">
      <alignment horizontal="center" vertical="center" wrapText="1"/>
    </xf>
    <xf numFmtId="3" fontId="47" fillId="19" borderId="96" xfId="0" applyNumberFormat="1" applyFont="1" applyFill="1" applyBorder="1" applyAlignment="1">
      <alignment horizontal="center" vertical="center" wrapText="1"/>
    </xf>
    <xf numFmtId="1" fontId="46" fillId="3" borderId="192" xfId="0" applyNumberFormat="1" applyFont="1" applyFill="1" applyBorder="1" applyAlignment="1">
      <alignment horizontal="center" vertical="center" wrapText="1"/>
    </xf>
    <xf numFmtId="3" fontId="47" fillId="3" borderId="62" xfId="0" applyNumberFormat="1" applyFont="1" applyFill="1" applyBorder="1" applyAlignment="1">
      <alignment horizontal="center" vertical="center" wrapText="1"/>
    </xf>
    <xf numFmtId="3" fontId="47" fillId="3" borderId="58" xfId="0" applyNumberFormat="1" applyFont="1" applyFill="1" applyBorder="1" applyAlignment="1">
      <alignment horizontal="center" vertical="center" wrapText="1"/>
    </xf>
    <xf numFmtId="1" fontId="46" fillId="3" borderId="125" xfId="0" applyNumberFormat="1" applyFont="1" applyFill="1" applyBorder="1" applyAlignment="1">
      <alignment horizontal="center" vertical="center" wrapText="1"/>
    </xf>
    <xf numFmtId="3" fontId="46" fillId="3" borderId="47" xfId="0" applyNumberFormat="1" applyFont="1" applyFill="1" applyBorder="1" applyAlignment="1">
      <alignment horizontal="center" vertical="center" wrapText="1"/>
    </xf>
    <xf numFmtId="3" fontId="46" fillId="3" borderId="58" xfId="0" applyNumberFormat="1" applyFont="1" applyFill="1" applyBorder="1" applyAlignment="1">
      <alignment horizontal="center" vertical="center" wrapText="1"/>
    </xf>
    <xf numFmtId="0" fontId="46" fillId="3" borderId="101" xfId="0" applyFont="1" applyFill="1" applyBorder="1" applyAlignment="1">
      <alignment horizontal="left" vertical="center" wrapText="1"/>
    </xf>
    <xf numFmtId="3" fontId="46" fillId="3" borderId="103" xfId="0" applyNumberFormat="1" applyFont="1" applyFill="1" applyBorder="1" applyAlignment="1">
      <alignment horizontal="left" vertical="center" wrapText="1"/>
    </xf>
    <xf numFmtId="3" fontId="46" fillId="3" borderId="0" xfId="0" applyNumberFormat="1" applyFont="1" applyFill="1" applyBorder="1" applyAlignment="1">
      <alignment horizontal="center" vertical="center" wrapText="1"/>
    </xf>
    <xf numFmtId="3" fontId="46" fillId="3" borderId="98" xfId="0" applyNumberFormat="1" applyFont="1" applyFill="1" applyBorder="1" applyAlignment="1">
      <alignment horizontal="center" vertical="center" wrapText="1"/>
    </xf>
    <xf numFmtId="1" fontId="46" fillId="3" borderId="105" xfId="0" applyNumberFormat="1" applyFont="1" applyFill="1" applyBorder="1" applyAlignment="1">
      <alignment horizontal="center" vertical="center" wrapText="1"/>
    </xf>
    <xf numFmtId="0" fontId="46" fillId="4" borderId="125" xfId="0" applyFont="1" applyFill="1" applyBorder="1" applyAlignment="1">
      <alignment horizontal="left" vertical="center" wrapText="1"/>
    </xf>
    <xf numFmtId="3" fontId="46" fillId="4" borderId="134" xfId="0" applyNumberFormat="1" applyFont="1" applyFill="1" applyBorder="1" applyAlignment="1">
      <alignment horizontal="left" vertical="center" wrapText="1"/>
    </xf>
    <xf numFmtId="3" fontId="46" fillId="4" borderId="130" xfId="0" applyNumberFormat="1" applyFont="1" applyFill="1" applyBorder="1" applyAlignment="1">
      <alignment horizontal="center" vertical="center" wrapText="1"/>
    </xf>
    <xf numFmtId="3" fontId="46" fillId="4" borderId="47" xfId="0" applyNumberFormat="1" applyFont="1" applyFill="1" applyBorder="1" applyAlignment="1">
      <alignment horizontal="center" vertical="center" wrapText="1"/>
    </xf>
    <xf numFmtId="3" fontId="46" fillId="4" borderId="58" xfId="0" applyNumberFormat="1" applyFont="1" applyFill="1" applyBorder="1" applyAlignment="1">
      <alignment horizontal="center" vertical="center" wrapText="1"/>
    </xf>
    <xf numFmtId="0" fontId="46" fillId="4" borderId="100" xfId="0" applyFont="1" applyFill="1" applyBorder="1" applyAlignment="1">
      <alignment horizontal="left" vertical="center" wrapText="1"/>
    </xf>
    <xf numFmtId="3" fontId="46" fillId="4" borderId="103" xfId="0" applyNumberFormat="1" applyFont="1" applyFill="1" applyBorder="1" applyAlignment="1">
      <alignment horizontal="left" vertical="center" wrapText="1"/>
    </xf>
    <xf numFmtId="3" fontId="46" fillId="0" borderId="130" xfId="0" applyNumberFormat="1" applyFont="1" applyBorder="1" applyAlignment="1">
      <alignment horizontal="center" vertical="center" wrapText="1"/>
    </xf>
    <xf numFmtId="0" fontId="46" fillId="3" borderId="71" xfId="0" applyFont="1" applyFill="1" applyBorder="1" applyAlignment="1">
      <alignment horizontal="center" vertical="center" wrapText="1"/>
    </xf>
    <xf numFmtId="49" fontId="46" fillId="0" borderId="105" xfId="0" applyNumberFormat="1" applyFont="1" applyBorder="1" applyAlignment="1">
      <alignment horizontal="center" vertical="center"/>
    </xf>
    <xf numFmtId="3" fontId="46" fillId="4" borderId="118" xfId="0" applyNumberFormat="1" applyFont="1" applyFill="1" applyBorder="1" applyAlignment="1">
      <alignment horizontal="center" vertical="center" wrapText="1"/>
    </xf>
    <xf numFmtId="3" fontId="46" fillId="0" borderId="119" xfId="0" applyNumberFormat="1" applyFont="1" applyBorder="1" applyAlignment="1">
      <alignment horizontal="center" vertical="center" wrapText="1"/>
    </xf>
    <xf numFmtId="3" fontId="46" fillId="4" borderId="0" xfId="0" applyNumberFormat="1" applyFont="1" applyFill="1" applyBorder="1" applyAlignment="1">
      <alignment horizontal="center" vertical="center" wrapText="1"/>
    </xf>
    <xf numFmtId="3" fontId="46" fillId="4" borderId="98" xfId="0" applyNumberFormat="1" applyFont="1" applyFill="1" applyBorder="1" applyAlignment="1">
      <alignment horizontal="center" vertical="center" wrapText="1"/>
    </xf>
    <xf numFmtId="0" fontId="47" fillId="19" borderId="74" xfId="0" applyFont="1" applyFill="1" applyBorder="1" applyAlignment="1">
      <alignment horizontal="left" vertical="center" wrapText="1"/>
    </xf>
    <xf numFmtId="3" fontId="46" fillId="19" borderId="80" xfId="0" applyNumberFormat="1" applyFont="1" applyFill="1" applyBorder="1" applyAlignment="1">
      <alignment horizontal="left" vertical="center" wrapText="1"/>
    </xf>
    <xf numFmtId="0" fontId="46" fillId="3" borderId="109" xfId="0" applyFont="1" applyFill="1" applyBorder="1" applyAlignment="1">
      <alignment horizontal="left" vertical="center" wrapText="1"/>
    </xf>
    <xf numFmtId="1" fontId="46" fillId="14" borderId="125" xfId="0" applyNumberFormat="1" applyFont="1" applyFill="1" applyBorder="1" applyAlignment="1">
      <alignment horizontal="center" vertical="center" wrapText="1"/>
    </xf>
    <xf numFmtId="0" fontId="46" fillId="3" borderId="47" xfId="0" applyFont="1" applyFill="1" applyBorder="1" applyAlignment="1">
      <alignment horizontal="left" vertical="center" wrapText="1"/>
    </xf>
    <xf numFmtId="49" fontId="46" fillId="3" borderId="105" xfId="0" applyNumberFormat="1" applyFont="1" applyFill="1" applyBorder="1" applyAlignment="1">
      <alignment horizontal="center" vertical="center" wrapText="1"/>
    </xf>
    <xf numFmtId="0" fontId="46" fillId="3" borderId="100" xfId="0" applyFont="1" applyFill="1" applyBorder="1" applyAlignment="1">
      <alignment horizontal="left" vertical="center" wrapText="1"/>
    </xf>
    <xf numFmtId="1" fontId="46" fillId="3" borderId="157" xfId="0" applyNumberFormat="1" applyFont="1" applyFill="1" applyBorder="1" applyAlignment="1">
      <alignment horizontal="center" vertical="center" wrapText="1"/>
    </xf>
    <xf numFmtId="1" fontId="46" fillId="3" borderId="120" xfId="0" applyNumberFormat="1" applyFont="1" applyFill="1" applyBorder="1" applyAlignment="1">
      <alignment horizontal="center" vertical="center" wrapText="1"/>
    </xf>
    <xf numFmtId="0" fontId="46" fillId="3" borderId="123" xfId="0" applyFont="1" applyFill="1" applyBorder="1" applyAlignment="1">
      <alignment horizontal="left" vertical="center" wrapText="1"/>
    </xf>
    <xf numFmtId="3" fontId="46" fillId="3" borderId="140" xfId="0" applyNumberFormat="1" applyFont="1" applyFill="1" applyBorder="1" applyAlignment="1">
      <alignment horizontal="left" vertical="center" wrapText="1"/>
    </xf>
    <xf numFmtId="3" fontId="46" fillId="3" borderId="118" xfId="0" applyNumberFormat="1" applyFont="1" applyFill="1" applyBorder="1" applyAlignment="1">
      <alignment horizontal="center" vertical="center" wrapText="1"/>
    </xf>
    <xf numFmtId="3" fontId="46" fillId="3" borderId="123" xfId="0" applyNumberFormat="1" applyFont="1" applyFill="1" applyBorder="1" applyAlignment="1">
      <alignment horizontal="center" vertical="center" wrapText="1"/>
    </xf>
    <xf numFmtId="3" fontId="46" fillId="3" borderId="228" xfId="0" applyNumberFormat="1" applyFont="1" applyFill="1" applyBorder="1" applyAlignment="1">
      <alignment horizontal="center" vertical="center" wrapText="1"/>
    </xf>
    <xf numFmtId="3" fontId="46" fillId="3" borderId="260" xfId="0" applyNumberFormat="1" applyFont="1" applyFill="1" applyBorder="1" applyAlignment="1">
      <alignment horizontal="center" vertical="center" wrapText="1"/>
    </xf>
    <xf numFmtId="0" fontId="47" fillId="19" borderId="73" xfId="0" applyFont="1" applyFill="1" applyBorder="1" applyAlignment="1">
      <alignment horizontal="left" vertical="center" wrapText="1"/>
    </xf>
    <xf numFmtId="3" fontId="47" fillId="19" borderId="75" xfId="0" applyNumberFormat="1" applyFont="1" applyFill="1" applyBorder="1" applyAlignment="1">
      <alignment horizontal="left" vertical="center" wrapText="1"/>
    </xf>
    <xf numFmtId="0" fontId="46" fillId="3" borderId="191" xfId="0" applyFont="1" applyFill="1" applyBorder="1" applyAlignment="1">
      <alignment horizontal="center" vertical="center" wrapText="1"/>
    </xf>
    <xf numFmtId="1" fontId="46" fillId="3" borderId="79" xfId="0" applyNumberFormat="1" applyFont="1" applyFill="1" applyBorder="1" applyAlignment="1">
      <alignment horizontal="center" vertical="center" wrapText="1"/>
    </xf>
    <xf numFmtId="0" fontId="46" fillId="3" borderId="192" xfId="0" applyFont="1" applyFill="1" applyBorder="1" applyAlignment="1">
      <alignment horizontal="left" vertical="center" wrapText="1"/>
    </xf>
    <xf numFmtId="3" fontId="46" fillId="3" borderId="109" xfId="0" applyNumberFormat="1" applyFont="1" applyFill="1" applyBorder="1" applyAlignment="1">
      <alignment horizontal="left" vertical="center" wrapText="1"/>
    </xf>
    <xf numFmtId="1" fontId="46" fillId="3" borderId="307" xfId="0" applyNumberFormat="1" applyFont="1" applyFill="1" applyBorder="1" applyAlignment="1">
      <alignment horizontal="center" vertical="center" wrapText="1"/>
    </xf>
    <xf numFmtId="0" fontId="140" fillId="3" borderId="125" xfId="0" applyFont="1" applyFill="1" applyBorder="1" applyAlignment="1">
      <alignment horizontal="left" vertical="center" wrapText="1"/>
    </xf>
    <xf numFmtId="3" fontId="140" fillId="3" borderId="130" xfId="0" applyNumberFormat="1" applyFont="1" applyFill="1" applyBorder="1" applyAlignment="1">
      <alignment horizontal="center" vertical="center"/>
    </xf>
    <xf numFmtId="3" fontId="46" fillId="3" borderId="171" xfId="0" applyNumberFormat="1" applyFont="1" applyFill="1" applyBorder="1" applyAlignment="1">
      <alignment horizontal="left" vertical="center" wrapText="1"/>
    </xf>
    <xf numFmtId="3" fontId="140" fillId="3" borderId="153" xfId="0" applyNumberFormat="1" applyFont="1" applyFill="1" applyBorder="1" applyAlignment="1">
      <alignment horizontal="center" vertical="center"/>
    </xf>
    <xf numFmtId="0" fontId="140" fillId="3" borderId="125" xfId="0" applyFont="1" applyFill="1" applyBorder="1" applyAlignment="1">
      <alignment horizontal="left" wrapText="1"/>
    </xf>
    <xf numFmtId="49" fontId="47" fillId="3" borderId="125" xfId="0" applyNumberFormat="1" applyFont="1" applyFill="1" applyBorder="1" applyAlignment="1">
      <alignment horizontal="center" vertical="center" wrapText="1"/>
    </xf>
    <xf numFmtId="0" fontId="46" fillId="3" borderId="125" xfId="0" applyFont="1" applyFill="1" applyBorder="1" applyAlignment="1">
      <alignment horizontal="left" vertical="center" wrapText="1"/>
    </xf>
    <xf numFmtId="3" fontId="47" fillId="3" borderId="130" xfId="0" applyNumberFormat="1" applyFont="1" applyFill="1" applyBorder="1" applyAlignment="1">
      <alignment horizontal="center" vertical="center" wrapText="1"/>
    </xf>
    <xf numFmtId="0" fontId="140" fillId="3" borderId="125" xfId="0" applyFont="1" applyFill="1" applyBorder="1" applyAlignment="1">
      <alignment vertical="center" wrapText="1"/>
    </xf>
    <xf numFmtId="0" fontId="140" fillId="3" borderId="125" xfId="0" applyFont="1" applyFill="1" applyBorder="1" applyAlignment="1">
      <alignment horizontal="left" vertical="center"/>
    </xf>
    <xf numFmtId="1" fontId="46" fillId="3" borderId="317" xfId="0" applyNumberFormat="1" applyFont="1" applyFill="1" applyBorder="1" applyAlignment="1">
      <alignment horizontal="center" vertical="center" wrapText="1"/>
    </xf>
    <xf numFmtId="49" fontId="46" fillId="3" borderId="183" xfId="0" applyNumberFormat="1" applyFont="1" applyFill="1" applyBorder="1" applyAlignment="1">
      <alignment horizontal="center" vertical="center" wrapText="1"/>
    </xf>
    <xf numFmtId="0" fontId="140" fillId="3" borderId="183" xfId="0" applyFont="1" applyFill="1" applyBorder="1" applyAlignment="1">
      <alignment horizontal="left" vertical="center" wrapText="1"/>
    </xf>
    <xf numFmtId="3" fontId="46" fillId="3" borderId="186" xfId="0" applyNumberFormat="1" applyFont="1" applyFill="1" applyBorder="1" applyAlignment="1">
      <alignment horizontal="left" vertical="center" wrapText="1"/>
    </xf>
    <xf numFmtId="3" fontId="46" fillId="3" borderId="184" xfId="0" applyNumberFormat="1" applyFont="1" applyFill="1" applyBorder="1" applyAlignment="1">
      <alignment horizontal="center" vertical="center" wrapText="1"/>
    </xf>
    <xf numFmtId="3" fontId="46" fillId="3" borderId="185" xfId="0" applyNumberFormat="1" applyFont="1" applyFill="1" applyBorder="1" applyAlignment="1">
      <alignment horizontal="center" vertical="center" wrapText="1"/>
    </xf>
    <xf numFmtId="0" fontId="46" fillId="3" borderId="316" xfId="0" applyFont="1" applyFill="1" applyBorder="1" applyAlignment="1">
      <alignment horizontal="center" vertical="center" wrapText="1"/>
    </xf>
    <xf numFmtId="1" fontId="46" fillId="3" borderId="143" xfId="0" applyNumberFormat="1" applyFont="1" applyFill="1" applyBorder="1" applyAlignment="1">
      <alignment horizontal="center" vertical="center" wrapText="1"/>
    </xf>
    <xf numFmtId="49" fontId="46" fillId="3" borderId="141" xfId="0" applyNumberFormat="1" applyFont="1" applyFill="1" applyBorder="1" applyAlignment="1">
      <alignment horizontal="center" vertical="center" wrapText="1"/>
    </xf>
    <xf numFmtId="0" fontId="46" fillId="3" borderId="141" xfId="0" applyFont="1" applyFill="1" applyBorder="1" applyAlignment="1">
      <alignment horizontal="left" vertical="center" wrapText="1"/>
    </xf>
    <xf numFmtId="3" fontId="46" fillId="3" borderId="142" xfId="0" applyNumberFormat="1" applyFont="1" applyFill="1" applyBorder="1" applyAlignment="1">
      <alignment horizontal="left" vertical="center" wrapText="1"/>
    </xf>
    <xf numFmtId="3" fontId="46" fillId="3" borderId="138" xfId="0" applyNumberFormat="1" applyFont="1" applyFill="1" applyBorder="1" applyAlignment="1">
      <alignment horizontal="center" vertical="center" wrapText="1"/>
    </xf>
    <xf numFmtId="3" fontId="46" fillId="3" borderId="139" xfId="0" applyNumberFormat="1" applyFont="1" applyFill="1" applyBorder="1" applyAlignment="1">
      <alignment horizontal="center" vertical="center" wrapText="1"/>
    </xf>
    <xf numFmtId="3" fontId="46" fillId="3" borderId="142" xfId="0" applyNumberFormat="1" applyFont="1" applyFill="1" applyBorder="1" applyAlignment="1">
      <alignment horizontal="center" vertical="center" wrapText="1"/>
    </xf>
    <xf numFmtId="3" fontId="46" fillId="3" borderId="144" xfId="0" applyNumberFormat="1" applyFont="1" applyFill="1" applyBorder="1" applyAlignment="1">
      <alignment horizontal="center" vertical="center" wrapText="1"/>
    </xf>
    <xf numFmtId="3" fontId="47" fillId="19" borderId="73" xfId="0" applyNumberFormat="1" applyFont="1" applyFill="1" applyBorder="1" applyAlignment="1">
      <alignment horizontal="left" vertical="center" wrapText="1"/>
    </xf>
    <xf numFmtId="0" fontId="46" fillId="3" borderId="136" xfId="0" applyFont="1" applyFill="1" applyBorder="1" applyAlignment="1">
      <alignment horizontal="center" vertical="center" wrapText="1"/>
    </xf>
    <xf numFmtId="0" fontId="140" fillId="3" borderId="111" xfId="0" applyFont="1" applyFill="1" applyBorder="1" applyAlignment="1">
      <alignment horizontal="left" vertical="center" wrapText="1"/>
    </xf>
    <xf numFmtId="3" fontId="46" fillId="3" borderId="125" xfId="0" applyNumberFormat="1" applyFont="1" applyFill="1" applyBorder="1" applyAlignment="1">
      <alignment horizontal="left" vertical="center" wrapText="1"/>
    </xf>
    <xf numFmtId="3" fontId="140" fillId="3" borderId="130" xfId="0" applyNumberFormat="1" applyFont="1" applyFill="1" applyBorder="1" applyAlignment="1">
      <alignment horizontal="center" vertical="center" wrapText="1"/>
    </xf>
    <xf numFmtId="3" fontId="140" fillId="3" borderId="267" xfId="0" applyNumberFormat="1" applyFont="1" applyFill="1" applyBorder="1" applyAlignment="1">
      <alignment horizontal="center" vertical="center" wrapText="1"/>
    </xf>
    <xf numFmtId="0" fontId="140" fillId="3" borderId="109" xfId="0" applyFont="1" applyFill="1" applyBorder="1" applyAlignment="1">
      <alignment horizontal="left" vertical="center" wrapText="1"/>
    </xf>
    <xf numFmtId="0" fontId="140" fillId="3" borderId="127" xfId="0" applyFont="1" applyFill="1" applyBorder="1" applyAlignment="1">
      <alignment horizontal="left" vertical="center" wrapText="1"/>
    </xf>
    <xf numFmtId="3" fontId="46" fillId="3" borderId="81" xfId="0" applyNumberFormat="1" applyFont="1" applyFill="1" applyBorder="1" applyAlignment="1">
      <alignment horizontal="left" vertical="center" wrapText="1"/>
    </xf>
    <xf numFmtId="0" fontId="140" fillId="3" borderId="125" xfId="0" applyFont="1" applyFill="1" applyBorder="1" applyAlignment="1">
      <alignment vertical="center"/>
    </xf>
    <xf numFmtId="0" fontId="140" fillId="3" borderId="100" xfId="0" applyFont="1" applyFill="1" applyBorder="1" applyAlignment="1">
      <alignment horizontal="left" vertical="center" wrapText="1"/>
    </xf>
    <xf numFmtId="0" fontId="140" fillId="3" borderId="127" xfId="0" applyFont="1" applyFill="1" applyBorder="1" applyAlignment="1">
      <alignment horizontal="center" vertical="center"/>
    </xf>
    <xf numFmtId="49" fontId="46" fillId="3" borderId="127" xfId="0" applyNumberFormat="1" applyFont="1" applyFill="1" applyBorder="1" applyAlignment="1">
      <alignment horizontal="left" vertical="center" wrapText="1"/>
    </xf>
    <xf numFmtId="3" fontId="140" fillId="3" borderId="128" xfId="0" applyNumberFormat="1" applyFont="1" applyFill="1" applyBorder="1" applyAlignment="1">
      <alignment horizontal="center" vertical="center" wrapText="1"/>
    </xf>
    <xf numFmtId="3" fontId="140" fillId="3" borderId="265" xfId="0" applyNumberFormat="1" applyFont="1" applyFill="1" applyBorder="1" applyAlignment="1">
      <alignment horizontal="center" vertical="center" wrapText="1"/>
    </xf>
    <xf numFmtId="0" fontId="46" fillId="3" borderId="172" xfId="0" applyFont="1" applyFill="1" applyBorder="1" applyAlignment="1">
      <alignment horizontal="center" vertical="center" wrapText="1"/>
    </xf>
    <xf numFmtId="0" fontId="140" fillId="3" borderId="176" xfId="0" applyFont="1" applyFill="1" applyBorder="1" applyAlignment="1">
      <alignment horizontal="left" vertical="center" wrapText="1"/>
    </xf>
    <xf numFmtId="3" fontId="46" fillId="3" borderId="202" xfId="0" applyNumberFormat="1" applyFont="1" applyFill="1" applyBorder="1" applyAlignment="1">
      <alignment horizontal="center" vertical="center" wrapText="1"/>
    </xf>
    <xf numFmtId="3" fontId="140" fillId="3" borderId="102" xfId="0" applyNumberFormat="1" applyFont="1" applyFill="1" applyBorder="1" applyAlignment="1">
      <alignment horizontal="center" vertical="center" wrapText="1"/>
    </xf>
    <xf numFmtId="0" fontId="46" fillId="3" borderId="177" xfId="0" applyFont="1" applyFill="1" applyBorder="1" applyAlignment="1">
      <alignment horizontal="center" vertical="center" wrapText="1"/>
    </xf>
    <xf numFmtId="1" fontId="46" fillId="3" borderId="177" xfId="0" applyNumberFormat="1" applyFont="1" applyFill="1" applyBorder="1" applyAlignment="1">
      <alignment horizontal="center" vertical="center" wrapText="1"/>
    </xf>
    <xf numFmtId="49" fontId="46" fillId="3" borderId="177" xfId="0" applyNumberFormat="1" applyFont="1" applyFill="1" applyBorder="1" applyAlignment="1">
      <alignment horizontal="center" vertical="center" wrapText="1"/>
    </xf>
    <xf numFmtId="0" fontId="140" fillId="3" borderId="177" xfId="0" applyFont="1" applyFill="1" applyBorder="1" applyAlignment="1">
      <alignment horizontal="left" vertical="center" wrapText="1"/>
    </xf>
    <xf numFmtId="3" fontId="46" fillId="3" borderId="177" xfId="0" applyNumberFormat="1" applyFont="1" applyFill="1" applyBorder="1" applyAlignment="1">
      <alignment horizontal="center" vertical="center" wrapText="1"/>
    </xf>
    <xf numFmtId="3" fontId="140" fillId="3" borderId="177" xfId="0" applyNumberFormat="1" applyFont="1" applyFill="1" applyBorder="1" applyAlignment="1">
      <alignment horizontal="center" vertical="center" wrapText="1"/>
    </xf>
    <xf numFmtId="3" fontId="46" fillId="3" borderId="276" xfId="0" applyNumberFormat="1" applyFont="1" applyFill="1" applyBorder="1" applyAlignment="1">
      <alignment horizontal="center" vertical="center" wrapText="1"/>
    </xf>
    <xf numFmtId="3" fontId="140" fillId="3" borderId="261" xfId="0" applyNumberFormat="1" applyFont="1" applyFill="1" applyBorder="1" applyAlignment="1">
      <alignment horizontal="center" vertical="center" wrapText="1"/>
    </xf>
    <xf numFmtId="1" fontId="46" fillId="3" borderId="187" xfId="0" applyNumberFormat="1" applyFont="1" applyFill="1" applyBorder="1" applyAlignment="1">
      <alignment horizontal="center" vertical="center" wrapText="1"/>
    </xf>
    <xf numFmtId="1" fontId="46" fillId="3" borderId="208" xfId="0" applyNumberFormat="1" applyFont="1" applyFill="1" applyBorder="1" applyAlignment="1">
      <alignment horizontal="center" vertical="center" wrapText="1"/>
    </xf>
    <xf numFmtId="0" fontId="46" fillId="3" borderId="209" xfId="0" applyFont="1" applyFill="1" applyBorder="1" applyAlignment="1">
      <alignment horizontal="left" vertical="center" wrapText="1"/>
    </xf>
    <xf numFmtId="3" fontId="46" fillId="3" borderId="153" xfId="0" applyNumberFormat="1" applyFont="1" applyFill="1" applyBorder="1" applyAlignment="1">
      <alignment horizontal="center" vertical="center" wrapText="1"/>
    </xf>
    <xf numFmtId="1" fontId="46" fillId="3" borderId="141" xfId="0" applyNumberFormat="1" applyFont="1" applyFill="1" applyBorder="1" applyAlignment="1">
      <alignment horizontal="center" vertical="center" wrapText="1"/>
    </xf>
    <xf numFmtId="3" fontId="46" fillId="3" borderId="105" xfId="0" applyNumberFormat="1" applyFont="1" applyFill="1" applyBorder="1" applyAlignment="1">
      <alignment horizontal="left" vertical="center" wrapText="1"/>
    </xf>
    <xf numFmtId="1" fontId="46" fillId="3" borderId="0" xfId="0" applyNumberFormat="1" applyFont="1" applyFill="1" applyBorder="1" applyAlignment="1">
      <alignment horizontal="center" vertical="center" wrapText="1"/>
    </xf>
    <xf numFmtId="49" fontId="46" fillId="3" borderId="305" xfId="0" applyNumberFormat="1" applyFont="1" applyFill="1" applyBorder="1" applyAlignment="1">
      <alignment horizontal="center" vertical="center"/>
    </xf>
    <xf numFmtId="3" fontId="46" fillId="3" borderId="253" xfId="0" applyNumberFormat="1" applyFont="1" applyFill="1" applyBorder="1" applyAlignment="1">
      <alignment horizontal="center" vertical="center" wrapText="1"/>
    </xf>
    <xf numFmtId="3" fontId="46" fillId="3" borderId="255" xfId="0" applyNumberFormat="1" applyFont="1" applyFill="1" applyBorder="1" applyAlignment="1">
      <alignment horizontal="center" vertical="center" wrapText="1"/>
    </xf>
    <xf numFmtId="0" fontId="46" fillId="3" borderId="145" xfId="0" applyFont="1" applyFill="1" applyBorder="1" applyAlignment="1">
      <alignment horizontal="center" vertical="center"/>
    </xf>
    <xf numFmtId="1" fontId="46" fillId="3" borderId="99" xfId="0" applyNumberFormat="1" applyFont="1" applyFill="1" applyBorder="1" applyAlignment="1">
      <alignment horizontal="center" vertical="center"/>
    </xf>
    <xf numFmtId="49" fontId="46" fillId="3" borderId="141" xfId="0" applyNumberFormat="1" applyFont="1" applyFill="1" applyBorder="1" applyAlignment="1">
      <alignment horizontal="center" vertical="center"/>
    </xf>
    <xf numFmtId="0" fontId="47" fillId="3" borderId="146" xfId="0" applyFont="1" applyFill="1" applyBorder="1" applyAlignment="1">
      <alignment horizontal="left" vertical="center" wrapText="1"/>
    </xf>
    <xf numFmtId="3" fontId="46" fillId="3" borderId="138" xfId="0" applyNumberFormat="1" applyFont="1" applyFill="1" applyBorder="1" applyAlignment="1">
      <alignment horizontal="center" vertical="center"/>
    </xf>
    <xf numFmtId="3" fontId="46" fillId="3" borderId="139" xfId="0" applyNumberFormat="1" applyFont="1" applyFill="1" applyBorder="1" applyAlignment="1">
      <alignment horizontal="center" vertical="center"/>
    </xf>
    <xf numFmtId="3" fontId="47" fillId="3" borderId="146" xfId="0" applyNumberFormat="1" applyFont="1" applyFill="1" applyBorder="1" applyAlignment="1">
      <alignment horizontal="center" vertical="center"/>
    </xf>
    <xf numFmtId="3" fontId="46" fillId="3" borderId="260" xfId="0" applyNumberFormat="1" applyFont="1" applyFill="1" applyBorder="1" applyAlignment="1">
      <alignment horizontal="center" vertical="center"/>
    </xf>
    <xf numFmtId="3" fontId="46" fillId="3" borderId="261" xfId="0" applyNumberFormat="1" applyFont="1" applyFill="1" applyBorder="1" applyAlignment="1">
      <alignment horizontal="center" vertical="center"/>
    </xf>
    <xf numFmtId="3" fontId="47" fillId="3" borderId="147" xfId="0" applyNumberFormat="1" applyFont="1" applyFill="1" applyBorder="1" applyAlignment="1">
      <alignment horizontal="center" vertical="center"/>
    </xf>
    <xf numFmtId="3" fontId="46" fillId="3" borderId="154" xfId="0" applyNumberFormat="1" applyFont="1" applyFill="1" applyBorder="1" applyAlignment="1">
      <alignment horizontal="center" vertical="center" wrapText="1"/>
    </xf>
    <xf numFmtId="3" fontId="46" fillId="3" borderId="264" xfId="0" applyNumberFormat="1" applyFont="1" applyFill="1" applyBorder="1" applyAlignment="1">
      <alignment horizontal="center" vertical="center" wrapText="1"/>
    </xf>
    <xf numFmtId="3" fontId="46" fillId="3" borderId="151" xfId="0" applyNumberFormat="1" applyFont="1" applyFill="1" applyBorder="1" applyAlignment="1">
      <alignment horizontal="center" vertical="center" wrapText="1"/>
    </xf>
    <xf numFmtId="3" fontId="46" fillId="3" borderId="173" xfId="0" applyNumberFormat="1" applyFont="1" applyFill="1" applyBorder="1" applyAlignment="1">
      <alignment horizontal="center" vertical="center" wrapText="1"/>
    </xf>
    <xf numFmtId="0" fontId="46" fillId="3" borderId="148" xfId="0" applyFont="1" applyFill="1" applyBorder="1" applyAlignment="1">
      <alignment horizontal="center" vertical="center" wrapText="1"/>
    </xf>
    <xf numFmtId="1" fontId="46" fillId="3" borderId="121" xfId="0" applyNumberFormat="1" applyFont="1" applyFill="1" applyBorder="1" applyAlignment="1">
      <alignment horizontal="center" vertical="center" wrapText="1"/>
    </xf>
    <xf numFmtId="49" fontId="46" fillId="3" borderId="121" xfId="0" applyNumberFormat="1" applyFont="1" applyFill="1" applyBorder="1" applyAlignment="1">
      <alignment horizontal="center" vertical="center" wrapText="1"/>
    </xf>
    <xf numFmtId="0" fontId="46" fillId="3" borderId="121" xfId="0" applyFont="1" applyFill="1" applyBorder="1" applyAlignment="1">
      <alignment horizontal="left" vertical="center" wrapText="1"/>
    </xf>
    <xf numFmtId="3" fontId="46" fillId="3" borderId="119" xfId="0" applyNumberFormat="1" applyFont="1" applyFill="1" applyBorder="1" applyAlignment="1">
      <alignment horizontal="center" vertical="center" wrapText="1"/>
    </xf>
    <xf numFmtId="3" fontId="46" fillId="3" borderId="149" xfId="0" applyNumberFormat="1" applyFont="1" applyFill="1" applyBorder="1" applyAlignment="1">
      <alignment horizontal="center" vertical="center" wrapText="1"/>
    </xf>
    <xf numFmtId="0" fontId="25" fillId="20" borderId="57" xfId="9" applyFont="1" applyFill="1" applyBorder="1" applyAlignment="1">
      <alignment horizontal="center" vertical="center"/>
    </xf>
    <xf numFmtId="0" fontId="25" fillId="20" borderId="10" xfId="9" applyFont="1" applyFill="1" applyBorder="1" applyAlignment="1">
      <alignment horizontal="center" vertical="center"/>
    </xf>
    <xf numFmtId="0" fontId="25" fillId="20" borderId="115" xfId="9" applyFont="1" applyFill="1" applyBorder="1" applyAlignment="1">
      <alignment horizontal="center" vertical="center"/>
    </xf>
    <xf numFmtId="0" fontId="23" fillId="0" borderId="0" xfId="9" applyFont="1" applyAlignment="1">
      <alignment horizontal="left" wrapText="1"/>
    </xf>
    <xf numFmtId="0" fontId="25" fillId="0" borderId="0" xfId="9" applyFont="1" applyAlignment="1">
      <alignment horizontal="center" vertical="justify"/>
    </xf>
    <xf numFmtId="0" fontId="25" fillId="0" borderId="0" xfId="9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7" fillId="0" borderId="0" xfId="0" applyFont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 textRotation="90" wrapText="1"/>
    </xf>
    <xf numFmtId="3" fontId="125" fillId="20" borderId="45" xfId="0" applyNumberFormat="1" applyFont="1" applyFill="1" applyBorder="1" applyAlignment="1">
      <alignment horizontal="center" vertical="center" wrapText="1"/>
    </xf>
    <xf numFmtId="3" fontId="125" fillId="20" borderId="8" xfId="0" applyNumberFormat="1" applyFont="1" applyFill="1" applyBorder="1" applyAlignment="1">
      <alignment horizontal="center" vertical="center" wrapText="1"/>
    </xf>
    <xf numFmtId="3" fontId="125" fillId="20" borderId="44" xfId="0" applyNumberFormat="1" applyFont="1" applyFill="1" applyBorder="1" applyAlignment="1">
      <alignment horizontal="center" vertical="center" wrapText="1"/>
    </xf>
    <xf numFmtId="3" fontId="125" fillId="20" borderId="243" xfId="0" applyNumberFormat="1" applyFont="1" applyFill="1" applyBorder="1" applyAlignment="1">
      <alignment horizontal="center" textRotation="255" wrapText="1"/>
    </xf>
    <xf numFmtId="3" fontId="125" fillId="20" borderId="58" xfId="0" applyNumberFormat="1" applyFont="1" applyFill="1" applyBorder="1" applyAlignment="1">
      <alignment horizontal="center" textRotation="255" wrapText="1"/>
    </xf>
    <xf numFmtId="0" fontId="125" fillId="0" borderId="0" xfId="0" applyFont="1" applyFill="1" applyAlignment="1">
      <alignment horizontal="left" vertical="center"/>
    </xf>
    <xf numFmtId="49" fontId="125" fillId="20" borderId="112" xfId="1" applyNumberFormat="1" applyFont="1" applyFill="1" applyBorder="1" applyAlignment="1" applyProtection="1">
      <alignment horizontal="center" vertical="center" wrapText="1"/>
      <protection locked="0"/>
    </xf>
    <xf numFmtId="49" fontId="125" fillId="20" borderId="150" xfId="1" applyNumberFormat="1" applyFont="1" applyFill="1" applyBorder="1" applyAlignment="1" applyProtection="1">
      <alignment horizontal="center" vertical="center" wrapText="1"/>
      <protection locked="0"/>
    </xf>
    <xf numFmtId="0" fontId="125" fillId="20" borderId="10" xfId="1" applyFont="1" applyFill="1" applyBorder="1" applyAlignment="1" applyProtection="1">
      <alignment horizontal="center" vertical="center" wrapText="1"/>
      <protection locked="0"/>
    </xf>
    <xf numFmtId="0" fontId="125" fillId="20" borderId="263" xfId="1" applyFont="1" applyFill="1" applyBorder="1" applyAlignment="1" applyProtection="1">
      <alignment horizontal="center" vertical="center" wrapText="1"/>
      <protection locked="0"/>
    </xf>
    <xf numFmtId="0" fontId="117" fillId="0" borderId="0" xfId="0" applyFont="1" applyAlignment="1">
      <alignment horizontal="center"/>
    </xf>
    <xf numFmtId="3" fontId="125" fillId="2" borderId="188" xfId="0" applyNumberFormat="1" applyFont="1" applyFill="1" applyBorder="1" applyAlignment="1">
      <alignment horizontal="center" vertical="center" textRotation="255" wrapText="1"/>
    </xf>
    <xf numFmtId="3" fontId="125" fillId="2" borderId="235" xfId="0" applyNumberFormat="1" applyFont="1" applyFill="1" applyBorder="1" applyAlignment="1">
      <alignment horizontal="center" vertical="center" textRotation="255" wrapText="1"/>
    </xf>
    <xf numFmtId="3" fontId="118" fillId="2" borderId="52" xfId="0" applyNumberFormat="1" applyFont="1" applyFill="1" applyBorder="1" applyAlignment="1">
      <alignment horizontal="center" vertical="center" wrapText="1"/>
    </xf>
    <xf numFmtId="3" fontId="118" fillId="2" borderId="10" xfId="0" applyNumberFormat="1" applyFont="1" applyFill="1" applyBorder="1" applyAlignment="1">
      <alignment horizontal="center" vertical="center" wrapText="1"/>
    </xf>
    <xf numFmtId="3" fontId="118" fillId="2" borderId="5" xfId="0" applyNumberFormat="1" applyFont="1" applyFill="1" applyBorder="1" applyAlignment="1">
      <alignment horizontal="center" vertical="center" wrapText="1"/>
    </xf>
    <xf numFmtId="3" fontId="118" fillId="2" borderId="45" xfId="0" applyNumberFormat="1" applyFont="1" applyFill="1" applyBorder="1" applyAlignment="1">
      <alignment horizontal="center" vertical="center" wrapText="1"/>
    </xf>
    <xf numFmtId="3" fontId="118" fillId="2" borderId="8" xfId="0" applyNumberFormat="1" applyFont="1" applyFill="1" applyBorder="1" applyAlignment="1">
      <alignment horizontal="center" vertical="center" wrapText="1"/>
    </xf>
    <xf numFmtId="49" fontId="119" fillId="2" borderId="7" xfId="2" applyNumberFormat="1" applyFont="1" applyFill="1" applyBorder="1" applyAlignment="1">
      <alignment horizontal="center" vertical="center" wrapText="1"/>
    </xf>
    <xf numFmtId="49" fontId="119" fillId="2" borderId="131" xfId="2" applyNumberFormat="1" applyFont="1" applyFill="1" applyBorder="1" applyAlignment="1">
      <alignment horizontal="center" vertical="center" wrapText="1"/>
    </xf>
    <xf numFmtId="49" fontId="118" fillId="5" borderId="8" xfId="1" applyNumberFormat="1" applyFont="1" applyFill="1" applyBorder="1" applyAlignment="1" applyProtection="1">
      <alignment horizontal="center" vertical="center" wrapText="1"/>
      <protection locked="0"/>
    </xf>
    <xf numFmtId="49" fontId="118" fillId="5" borderId="151" xfId="1" applyNumberFormat="1" applyFont="1" applyFill="1" applyBorder="1" applyAlignment="1" applyProtection="1">
      <alignment horizontal="center" vertical="center" wrapText="1"/>
      <protection locked="0"/>
    </xf>
    <xf numFmtId="0" fontId="118" fillId="5" borderId="52" xfId="1" applyNumberFormat="1" applyFont="1" applyFill="1" applyBorder="1" applyAlignment="1" applyProtection="1">
      <alignment horizontal="center" vertical="center" wrapText="1"/>
      <protection locked="0"/>
    </xf>
    <xf numFmtId="0" fontId="118" fillId="5" borderId="152" xfId="1" applyNumberFormat="1" applyFont="1" applyFill="1" applyBorder="1" applyAlignment="1" applyProtection="1">
      <alignment horizontal="center" vertical="center" wrapText="1"/>
      <protection locked="0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52" xfId="0" applyFont="1" applyFill="1" applyBorder="1" applyAlignment="1">
      <alignment horizontal="center" vertical="center" wrapText="1"/>
    </xf>
    <xf numFmtId="3" fontId="25" fillId="20" borderId="46" xfId="0" applyNumberFormat="1" applyFont="1" applyFill="1" applyBorder="1" applyAlignment="1">
      <alignment horizontal="center" vertical="center" textRotation="255"/>
    </xf>
    <xf numFmtId="3" fontId="25" fillId="20" borderId="198" xfId="0" applyNumberFormat="1" applyFont="1" applyFill="1" applyBorder="1" applyAlignment="1">
      <alignment horizontal="center" vertical="center" textRotation="255"/>
    </xf>
    <xf numFmtId="3" fontId="25" fillId="20" borderId="48" xfId="0" applyNumberFormat="1" applyFont="1" applyFill="1" applyBorder="1" applyAlignment="1">
      <alignment horizontal="center" vertical="center" textRotation="255"/>
    </xf>
    <xf numFmtId="49" fontId="19" fillId="33" borderId="52" xfId="1" applyNumberFormat="1" applyFont="1" applyFill="1" applyBorder="1" applyAlignment="1" applyProtection="1">
      <alignment horizontal="center" vertical="center" wrapText="1"/>
      <protection locked="0"/>
    </xf>
    <xf numFmtId="49" fontId="19" fillId="33" borderId="227" xfId="1" applyNumberFormat="1" applyFont="1" applyFill="1" applyBorder="1" applyAlignment="1" applyProtection="1">
      <alignment horizontal="center" vertical="center" wrapText="1"/>
      <protection locked="0"/>
    </xf>
    <xf numFmtId="0" fontId="19" fillId="33" borderId="7" xfId="1" applyFont="1" applyFill="1" applyBorder="1" applyAlignment="1" applyProtection="1">
      <alignment horizontal="center" vertical="center" wrapText="1"/>
      <protection locked="0"/>
    </xf>
    <xf numFmtId="0" fontId="19" fillId="33" borderId="244" xfId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/>
    </xf>
    <xf numFmtId="3" fontId="19" fillId="20" borderId="9" xfId="0" applyNumberFormat="1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53" xfId="0" applyNumberFormat="1" applyFont="1" applyFill="1" applyBorder="1" applyAlignment="1">
      <alignment horizontal="center" vertical="center" wrapText="1"/>
    </xf>
    <xf numFmtId="3" fontId="9" fillId="2" borderId="46" xfId="0" applyNumberFormat="1" applyFont="1" applyFill="1" applyBorder="1" applyAlignment="1">
      <alignment horizontal="center" vertical="center" wrapText="1"/>
    </xf>
    <xf numFmtId="3" fontId="9" fillId="2" borderId="48" xfId="0" applyNumberFormat="1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3" fontId="9" fillId="2" borderId="53" xfId="0" applyNumberFormat="1" applyFont="1" applyFill="1" applyBorder="1" applyAlignment="1">
      <alignment horizontal="center" vertical="center" wrapText="1"/>
    </xf>
    <xf numFmtId="49" fontId="9" fillId="3" borderId="0" xfId="0" applyNumberFormat="1" applyFont="1" applyFill="1" applyAlignment="1">
      <alignment horizontal="center" vertical="center" wrapText="1"/>
    </xf>
    <xf numFmtId="49" fontId="9" fillId="3" borderId="0" xfId="0" applyNumberFormat="1" applyFont="1" applyFill="1" applyAlignment="1">
      <alignment horizontal="left" wrapText="1"/>
    </xf>
    <xf numFmtId="0" fontId="9" fillId="8" borderId="20" xfId="2" applyFont="1" applyFill="1" applyBorder="1" applyAlignment="1">
      <alignment horizontal="left" vertical="center" wrapText="1"/>
    </xf>
    <xf numFmtId="3" fontId="118" fillId="2" borderId="68" xfId="0" applyNumberFormat="1" applyFont="1" applyFill="1" applyBorder="1" applyAlignment="1">
      <alignment horizontal="center" vertical="center" wrapText="1"/>
    </xf>
    <xf numFmtId="3" fontId="125" fillId="2" borderId="116" xfId="0" applyNumberFormat="1" applyFont="1" applyFill="1" applyBorder="1" applyAlignment="1">
      <alignment horizontal="center" vertical="center" textRotation="255" wrapText="1"/>
    </xf>
    <xf numFmtId="3" fontId="125" fillId="2" borderId="114" xfId="0" applyNumberFormat="1" applyFont="1" applyFill="1" applyBorder="1" applyAlignment="1">
      <alignment horizontal="center" vertical="center" textRotation="255" wrapText="1"/>
    </xf>
    <xf numFmtId="49" fontId="118" fillId="0" borderId="0" xfId="0" applyNumberFormat="1" applyFont="1" applyAlignment="1">
      <alignment horizontal="left" vertical="center" wrapText="1"/>
    </xf>
    <xf numFmtId="0" fontId="118" fillId="5" borderId="69" xfId="2" applyFont="1" applyFill="1" applyBorder="1" applyAlignment="1">
      <alignment horizontal="center" vertical="center" wrapText="1"/>
    </xf>
    <xf numFmtId="0" fontId="118" fillId="5" borderId="156" xfId="2" applyFont="1" applyFill="1" applyBorder="1" applyAlignment="1">
      <alignment horizontal="center" vertical="center" wrapText="1"/>
    </xf>
    <xf numFmtId="49" fontId="118" fillId="5" borderId="112" xfId="2" applyNumberFormat="1" applyFont="1" applyFill="1" applyBorder="1" applyAlignment="1">
      <alignment horizontal="center" vertical="center" wrapText="1"/>
    </xf>
    <xf numFmtId="49" fontId="118" fillId="5" borderId="113" xfId="2" applyNumberFormat="1" applyFont="1" applyFill="1" applyBorder="1" applyAlignment="1">
      <alignment horizontal="center" vertical="center" wrapText="1"/>
    </xf>
    <xf numFmtId="3" fontId="125" fillId="2" borderId="45" xfId="0" applyNumberFormat="1" applyFont="1" applyFill="1" applyBorder="1" applyAlignment="1">
      <alignment horizontal="center" vertical="center" wrapText="1"/>
    </xf>
    <xf numFmtId="3" fontId="125" fillId="2" borderId="8" xfId="0" applyNumberFormat="1" applyFont="1" applyFill="1" applyBorder="1" applyAlignment="1">
      <alignment horizontal="center" vertical="center" wrapText="1"/>
    </xf>
    <xf numFmtId="3" fontId="125" fillId="2" borderId="68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3" fontId="47" fillId="2" borderId="45" xfId="0" applyNumberFormat="1" applyFont="1" applyFill="1" applyBorder="1" applyAlignment="1">
      <alignment horizontal="center" vertical="center" wrapText="1"/>
    </xf>
    <xf numFmtId="3" fontId="47" fillId="2" borderId="8" xfId="0" applyNumberFormat="1" applyFont="1" applyFill="1" applyBorder="1" applyAlignment="1">
      <alignment horizontal="center" vertical="center" wrapText="1"/>
    </xf>
    <xf numFmtId="3" fontId="47" fillId="2" borderId="52" xfId="0" applyNumberFormat="1" applyFont="1" applyFill="1" applyBorder="1" applyAlignment="1">
      <alignment horizontal="center" vertical="center" wrapText="1"/>
    </xf>
    <xf numFmtId="3" fontId="118" fillId="2" borderId="188" xfId="0" applyNumberFormat="1" applyFont="1" applyFill="1" applyBorder="1" applyAlignment="1">
      <alignment horizontal="center" vertical="center" textRotation="255" wrapText="1"/>
    </xf>
    <xf numFmtId="3" fontId="118" fillId="2" borderId="291" xfId="0" applyNumberFormat="1" applyFont="1" applyFill="1" applyBorder="1" applyAlignment="1">
      <alignment horizontal="center" vertical="center" textRotation="255" wrapText="1"/>
    </xf>
    <xf numFmtId="3" fontId="47" fillId="2" borderId="200" xfId="0" applyNumberFormat="1" applyFont="1" applyFill="1" applyBorder="1" applyAlignment="1">
      <alignment horizontal="center" vertical="center" wrapText="1"/>
    </xf>
    <xf numFmtId="3" fontId="47" fillId="2" borderId="10" xfId="0" applyNumberFormat="1" applyFont="1" applyFill="1" applyBorder="1" applyAlignment="1">
      <alignment horizontal="center" vertical="center" wrapText="1"/>
    </xf>
    <xf numFmtId="3" fontId="47" fillId="2" borderId="269" xfId="0" applyNumberFormat="1" applyFont="1" applyFill="1" applyBorder="1" applyAlignment="1">
      <alignment horizontal="center" vertical="center" wrapText="1"/>
    </xf>
    <xf numFmtId="0" fontId="47" fillId="5" borderId="45" xfId="2" applyFont="1" applyFill="1" applyBorder="1" applyAlignment="1">
      <alignment horizontal="center" vertical="center" wrapText="1"/>
    </xf>
    <xf numFmtId="0" fontId="47" fillId="5" borderId="287" xfId="2" applyFont="1" applyFill="1" applyBorder="1" applyAlignment="1">
      <alignment horizontal="center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0" fontId="118" fillId="8" borderId="0" xfId="2" applyFont="1" applyFill="1" applyBorder="1" applyAlignment="1">
      <alignment horizontal="left" vertical="center" wrapText="1"/>
    </xf>
    <xf numFmtId="49" fontId="118" fillId="2" borderId="7" xfId="0" applyNumberFormat="1" applyFont="1" applyFill="1" applyBorder="1" applyAlignment="1">
      <alignment horizontal="center" vertical="center" textRotation="255" wrapText="1"/>
    </xf>
    <xf numFmtId="49" fontId="118" fillId="2" borderId="272" xfId="0" applyNumberFormat="1" applyFont="1" applyFill="1" applyBorder="1" applyAlignment="1">
      <alignment horizontal="center" vertical="center" textRotation="255" wrapText="1"/>
    </xf>
    <xf numFmtId="49" fontId="118" fillId="2" borderId="8" xfId="0" applyNumberFormat="1" applyFont="1" applyFill="1" applyBorder="1" applyAlignment="1">
      <alignment horizontal="center" vertical="center" textRotation="255" wrapText="1"/>
    </xf>
    <xf numFmtId="49" fontId="118" fillId="2" borderId="266" xfId="0" applyNumberFormat="1" applyFont="1" applyFill="1" applyBorder="1" applyAlignment="1">
      <alignment horizontal="center" vertical="center" textRotation="255" wrapText="1"/>
    </xf>
    <xf numFmtId="49" fontId="118" fillId="5" borderId="8" xfId="2" applyNumberFormat="1" applyFont="1" applyFill="1" applyBorder="1" applyAlignment="1">
      <alignment horizontal="center" vertical="center" textRotation="255" wrapText="1"/>
    </xf>
    <xf numFmtId="49" fontId="118" fillId="5" borderId="266" xfId="2" applyNumberFormat="1" applyFont="1" applyFill="1" applyBorder="1" applyAlignment="1">
      <alignment horizontal="center" vertical="center" textRotation="255" wrapText="1"/>
    </xf>
    <xf numFmtId="49" fontId="118" fillId="5" borderId="52" xfId="2" applyNumberFormat="1" applyFont="1" applyFill="1" applyBorder="1" applyAlignment="1">
      <alignment horizontal="center" vertical="center" textRotation="255" wrapText="1"/>
    </xf>
    <xf numFmtId="49" fontId="118" fillId="5" borderId="264" xfId="2" applyNumberFormat="1" applyFont="1" applyFill="1" applyBorder="1" applyAlignment="1">
      <alignment horizontal="center" vertical="center" textRotation="255" wrapText="1"/>
    </xf>
    <xf numFmtId="3" fontId="9" fillId="2" borderId="45" xfId="0" applyNumberFormat="1" applyFont="1" applyFill="1" applyBorder="1" applyAlignment="1">
      <alignment horizontal="center" vertical="center" wrapText="1"/>
    </xf>
    <xf numFmtId="3" fontId="9" fillId="2" borderId="8" xfId="0" applyNumberFormat="1" applyFont="1" applyFill="1" applyBorder="1" applyAlignment="1">
      <alignment horizontal="center" vertical="center" wrapText="1"/>
    </xf>
    <xf numFmtId="3" fontId="9" fillId="2" borderId="68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textRotation="255" wrapText="1"/>
    </xf>
    <xf numFmtId="3" fontId="9" fillId="2" borderId="273" xfId="0" applyNumberFormat="1" applyFont="1" applyFill="1" applyBorder="1" applyAlignment="1">
      <alignment horizontal="center" vertical="center" textRotation="255" wrapText="1"/>
    </xf>
    <xf numFmtId="49" fontId="9" fillId="5" borderId="7" xfId="2" applyNumberFormat="1" applyFont="1" applyFill="1" applyBorder="1" applyAlignment="1">
      <alignment horizontal="center" vertical="center" textRotation="255" wrapText="1"/>
    </xf>
    <xf numFmtId="49" fontId="9" fillId="5" borderId="251" xfId="2" applyNumberFormat="1" applyFont="1" applyFill="1" applyBorder="1" applyAlignment="1">
      <alignment horizontal="center" vertical="center" textRotation="255" wrapText="1"/>
    </xf>
    <xf numFmtId="49" fontId="9" fillId="5" borderId="8" xfId="2" applyNumberFormat="1" applyFont="1" applyFill="1" applyBorder="1" applyAlignment="1">
      <alignment horizontal="center" vertical="center" textRotation="255" wrapText="1"/>
    </xf>
    <xf numFmtId="49" fontId="9" fillId="5" borderId="248" xfId="2" applyNumberFormat="1" applyFont="1" applyFill="1" applyBorder="1" applyAlignment="1">
      <alignment horizontal="center" vertical="center" textRotation="255" wrapText="1"/>
    </xf>
    <xf numFmtId="0" fontId="9" fillId="5" borderId="52" xfId="2" applyFont="1" applyFill="1" applyBorder="1" applyAlignment="1">
      <alignment horizontal="center" vertical="center" wrapText="1"/>
    </xf>
    <xf numFmtId="0" fontId="9" fillId="5" borderId="264" xfId="2" applyFont="1" applyFill="1" applyBorder="1" applyAlignment="1">
      <alignment horizontal="center" vertical="center" wrapText="1"/>
    </xf>
    <xf numFmtId="3" fontId="9" fillId="2" borderId="52" xfId="0" applyNumberFormat="1" applyFont="1" applyFill="1" applyBorder="1" applyAlignment="1">
      <alignment horizontal="center" vertical="center" wrapText="1"/>
    </xf>
    <xf numFmtId="49" fontId="9" fillId="33" borderId="57" xfId="2" applyNumberFormat="1" applyFont="1" applyFill="1" applyBorder="1" applyAlignment="1">
      <alignment horizontal="center" vertical="center" textRotation="255" wrapText="1"/>
    </xf>
    <xf numFmtId="49" fontId="9" fillId="33" borderId="136" xfId="2" applyNumberFormat="1" applyFont="1" applyFill="1" applyBorder="1" applyAlignment="1">
      <alignment horizontal="center" vertical="center" textRotation="255" wrapText="1"/>
    </xf>
    <xf numFmtId="49" fontId="9" fillId="33" borderId="7" xfId="2" applyNumberFormat="1" applyFont="1" applyFill="1" applyBorder="1" applyAlignment="1">
      <alignment horizontal="center" vertical="center" textRotation="255" wrapText="1"/>
    </xf>
    <xf numFmtId="49" fontId="9" fillId="33" borderId="131" xfId="2" applyNumberFormat="1" applyFont="1" applyFill="1" applyBorder="1" applyAlignment="1">
      <alignment horizontal="center" vertical="center" textRotation="255" wrapText="1"/>
    </xf>
    <xf numFmtId="49" fontId="9" fillId="33" borderId="8" xfId="2" applyNumberFormat="1" applyFont="1" applyFill="1" applyBorder="1" applyAlignment="1">
      <alignment horizontal="center" vertical="center" textRotation="255" wrapText="1"/>
    </xf>
    <xf numFmtId="49" fontId="9" fillId="33" borderId="151" xfId="2" applyNumberFormat="1" applyFont="1" applyFill="1" applyBorder="1" applyAlignment="1">
      <alignment horizontal="center" vertical="center" textRotation="255" wrapText="1"/>
    </xf>
    <xf numFmtId="0" fontId="9" fillId="33" borderId="52" xfId="2" applyFont="1" applyFill="1" applyBorder="1" applyAlignment="1">
      <alignment horizontal="center" vertical="center" wrapText="1"/>
    </xf>
    <xf numFmtId="0" fontId="9" fillId="33" borderId="152" xfId="2" applyFont="1" applyFill="1" applyBorder="1" applyAlignment="1">
      <alignment horizontal="center" vertical="center" wrapText="1"/>
    </xf>
    <xf numFmtId="3" fontId="9" fillId="20" borderId="188" xfId="0" applyNumberFormat="1" applyFont="1" applyFill="1" applyBorder="1" applyAlignment="1">
      <alignment horizontal="center" vertical="center" textRotation="255" wrapText="1"/>
    </xf>
    <xf numFmtId="3" fontId="9" fillId="20" borderId="291" xfId="0" applyNumberFormat="1" applyFont="1" applyFill="1" applyBorder="1" applyAlignment="1">
      <alignment horizontal="center" vertical="center" textRotation="255" wrapText="1"/>
    </xf>
    <xf numFmtId="3" fontId="9" fillId="20" borderId="45" xfId="0" applyNumberFormat="1" applyFont="1" applyFill="1" applyBorder="1" applyAlignment="1">
      <alignment horizontal="center" vertical="center" wrapText="1"/>
    </xf>
    <xf numFmtId="3" fontId="9" fillId="20" borderId="8" xfId="0" applyNumberFormat="1" applyFont="1" applyFill="1" applyBorder="1" applyAlignment="1">
      <alignment horizontal="center" vertical="center" wrapText="1"/>
    </xf>
    <xf numFmtId="3" fontId="9" fillId="20" borderId="52" xfId="0" applyNumberFormat="1" applyFont="1" applyFill="1" applyBorder="1" applyAlignment="1">
      <alignment horizontal="center" vertical="center" wrapText="1"/>
    </xf>
    <xf numFmtId="3" fontId="9" fillId="20" borderId="68" xfId="0" applyNumberFormat="1" applyFont="1" applyFill="1" applyBorder="1" applyAlignment="1">
      <alignment horizontal="center" vertical="center" wrapText="1"/>
    </xf>
    <xf numFmtId="3" fontId="9" fillId="20" borderId="9" xfId="0" applyNumberFormat="1" applyFont="1" applyFill="1" applyBorder="1" applyAlignment="1">
      <alignment horizontal="center" vertical="center" wrapText="1"/>
    </xf>
    <xf numFmtId="3" fontId="9" fillId="20" borderId="10" xfId="0" applyNumberFormat="1" applyFont="1" applyFill="1" applyBorder="1" applyAlignment="1">
      <alignment horizontal="center" vertical="center" wrapText="1"/>
    </xf>
    <xf numFmtId="3" fontId="9" fillId="20" borderId="53" xfId="0" applyNumberFormat="1" applyFont="1" applyFill="1" applyBorder="1" applyAlignment="1">
      <alignment horizontal="center" vertical="center" wrapText="1"/>
    </xf>
    <xf numFmtId="3" fontId="9" fillId="20" borderId="46" xfId="0" applyNumberFormat="1" applyFont="1" applyFill="1" applyBorder="1" applyAlignment="1">
      <alignment horizontal="center" vertical="center" textRotation="255" wrapText="1"/>
    </xf>
    <xf numFmtId="3" fontId="9" fillId="20" borderId="48" xfId="0" applyNumberFormat="1" applyFont="1" applyFill="1" applyBorder="1" applyAlignment="1">
      <alignment horizontal="center" vertical="center" textRotation="255" wrapText="1"/>
    </xf>
    <xf numFmtId="49" fontId="9" fillId="33" borderId="21" xfId="2" applyNumberFormat="1" applyFont="1" applyFill="1" applyBorder="1" applyAlignment="1">
      <alignment horizontal="center" vertical="center" textRotation="255" wrapText="1"/>
    </xf>
    <xf numFmtId="49" fontId="9" fillId="33" borderId="66" xfId="2" applyNumberFormat="1" applyFont="1" applyFill="1" applyBorder="1" applyAlignment="1">
      <alignment horizontal="center" vertical="center" textRotation="255" wrapText="1"/>
    </xf>
    <xf numFmtId="49" fontId="9" fillId="33" borderId="22" xfId="2" applyNumberFormat="1" applyFont="1" applyFill="1" applyBorder="1" applyAlignment="1">
      <alignment horizontal="center" vertical="center" textRotation="255" wrapText="1"/>
    </xf>
    <xf numFmtId="49" fontId="9" fillId="33" borderId="60" xfId="2" applyNumberFormat="1" applyFont="1" applyFill="1" applyBorder="1" applyAlignment="1">
      <alignment horizontal="center" vertical="center" textRotation="255" wrapText="1"/>
    </xf>
    <xf numFmtId="0" fontId="9" fillId="33" borderId="23" xfId="2" applyFont="1" applyFill="1" applyBorder="1" applyAlignment="1">
      <alignment horizontal="center" vertical="center" wrapText="1"/>
    </xf>
    <xf numFmtId="0" fontId="9" fillId="33" borderId="25" xfId="2" applyFont="1" applyFill="1" applyBorder="1" applyAlignment="1">
      <alignment horizontal="center" vertical="center" wrapText="1"/>
    </xf>
    <xf numFmtId="3" fontId="9" fillId="20" borderId="193" xfId="0" applyNumberFormat="1" applyFont="1" applyFill="1" applyBorder="1" applyAlignment="1">
      <alignment horizontal="center" vertical="center" wrapText="1"/>
    </xf>
    <xf numFmtId="3" fontId="9" fillId="20" borderId="194" xfId="0" applyNumberFormat="1" applyFont="1" applyFill="1" applyBorder="1" applyAlignment="1">
      <alignment horizontal="center" vertical="center" wrapText="1"/>
    </xf>
    <xf numFmtId="3" fontId="9" fillId="20" borderId="195" xfId="0" applyNumberFormat="1" applyFont="1" applyFill="1" applyBorder="1" applyAlignment="1">
      <alignment horizontal="center" vertical="center" wrapText="1"/>
    </xf>
    <xf numFmtId="0" fontId="9" fillId="33" borderId="62" xfId="2" applyFont="1" applyFill="1" applyBorder="1" applyAlignment="1">
      <alignment horizontal="center" vertical="center" wrapText="1"/>
    </xf>
    <xf numFmtId="3" fontId="37" fillId="2" borderId="196" xfId="0" applyNumberFormat="1" applyFont="1" applyFill="1" applyBorder="1" applyAlignment="1">
      <alignment horizontal="center" vertical="center" wrapText="1"/>
    </xf>
    <xf numFmtId="3" fontId="37" fillId="2" borderId="197" xfId="0" applyNumberFormat="1" applyFont="1" applyFill="1" applyBorder="1" applyAlignment="1">
      <alignment horizontal="center" vertical="center" wrapText="1"/>
    </xf>
    <xf numFmtId="3" fontId="37" fillId="2" borderId="210" xfId="0" applyNumberFormat="1" applyFont="1" applyFill="1" applyBorder="1" applyAlignment="1">
      <alignment horizontal="center" vertical="center" wrapText="1"/>
    </xf>
    <xf numFmtId="3" fontId="37" fillId="2" borderId="46" xfId="0" applyNumberFormat="1" applyFont="1" applyFill="1" applyBorder="1" applyAlignment="1">
      <alignment horizontal="center" vertical="center" textRotation="255" wrapText="1"/>
    </xf>
    <xf numFmtId="3" fontId="37" fillId="2" borderId="48" xfId="0" applyNumberFormat="1" applyFont="1" applyFill="1" applyBorder="1" applyAlignment="1">
      <alignment horizontal="center" vertical="center" textRotation="255" wrapText="1"/>
    </xf>
    <xf numFmtId="49" fontId="37" fillId="5" borderId="7" xfId="2" applyNumberFormat="1" applyFont="1" applyFill="1" applyBorder="1" applyAlignment="1">
      <alignment horizontal="center" vertical="center" textRotation="255" wrapText="1"/>
    </xf>
    <xf numFmtId="49" fontId="37" fillId="5" borderId="221" xfId="2" applyNumberFormat="1" applyFont="1" applyFill="1" applyBorder="1" applyAlignment="1">
      <alignment horizontal="center" vertical="center" textRotation="255" wrapText="1"/>
    </xf>
    <xf numFmtId="49" fontId="37" fillId="5" borderId="8" xfId="2" applyNumberFormat="1" applyFont="1" applyFill="1" applyBorder="1" applyAlignment="1">
      <alignment horizontal="center" vertical="center" textRotation="255" wrapText="1"/>
    </xf>
    <xf numFmtId="49" fontId="37" fillId="5" borderId="222" xfId="2" applyNumberFormat="1" applyFont="1" applyFill="1" applyBorder="1" applyAlignment="1">
      <alignment horizontal="center" vertical="center" textRotation="255" wrapText="1"/>
    </xf>
    <xf numFmtId="0" fontId="37" fillId="5" borderId="52" xfId="2" applyFont="1" applyFill="1" applyBorder="1" applyAlignment="1">
      <alignment horizontal="center" vertical="center" wrapText="1"/>
    </xf>
    <xf numFmtId="0" fontId="37" fillId="5" borderId="227" xfId="2" applyFont="1" applyFill="1" applyBorder="1" applyAlignment="1">
      <alignment horizontal="center" vertical="center" wrapText="1"/>
    </xf>
    <xf numFmtId="1" fontId="157" fillId="3" borderId="262" xfId="0" applyNumberFormat="1" applyFont="1" applyFill="1" applyBorder="1" applyAlignment="1">
      <alignment horizontal="center" vertical="center"/>
    </xf>
    <xf numFmtId="1" fontId="157" fillId="3" borderId="47" xfId="0" applyNumberFormat="1" applyFont="1" applyFill="1" applyBorder="1" applyAlignment="1">
      <alignment horizontal="center" vertical="center"/>
    </xf>
    <xf numFmtId="0" fontId="157" fillId="3" borderId="191" xfId="0" applyFont="1" applyFill="1" applyBorder="1" applyAlignment="1">
      <alignment horizontal="center" vertical="center"/>
    </xf>
    <xf numFmtId="3" fontId="157" fillId="3" borderId="263" xfId="0" applyNumberFormat="1" applyFont="1" applyFill="1" applyBorder="1" applyAlignment="1">
      <alignment horizontal="center" vertical="center"/>
    </xf>
    <xf numFmtId="0" fontId="157" fillId="3" borderId="275" xfId="0" applyFont="1" applyFill="1" applyBorder="1" applyAlignment="1">
      <alignment horizontal="left" vertical="center" wrapText="1"/>
    </xf>
    <xf numFmtId="3" fontId="47" fillId="2" borderId="188" xfId="0" applyNumberFormat="1" applyFont="1" applyFill="1" applyBorder="1" applyAlignment="1">
      <alignment horizontal="center" vertical="center" textRotation="255" wrapText="1"/>
    </xf>
    <xf numFmtId="3" fontId="47" fillId="2" borderId="291" xfId="0" applyNumberFormat="1" applyFont="1" applyFill="1" applyBorder="1" applyAlignment="1">
      <alignment horizontal="center" vertical="center" textRotation="255" wrapText="1"/>
    </xf>
    <xf numFmtId="49" fontId="47" fillId="5" borderId="7" xfId="2" applyNumberFormat="1" applyFont="1" applyFill="1" applyBorder="1" applyAlignment="1">
      <alignment horizontal="center" vertical="center" textRotation="255" wrapText="1"/>
    </xf>
    <xf numFmtId="49" fontId="47" fillId="5" borderId="272" xfId="2" applyNumberFormat="1" applyFont="1" applyFill="1" applyBorder="1" applyAlignment="1">
      <alignment horizontal="center" vertical="center" textRotation="255" wrapText="1"/>
    </xf>
    <xf numFmtId="49" fontId="47" fillId="5" borderId="8" xfId="2" applyNumberFormat="1" applyFont="1" applyFill="1" applyBorder="1" applyAlignment="1">
      <alignment horizontal="center" vertical="center" textRotation="255" wrapText="1"/>
    </xf>
    <xf numFmtId="49" fontId="47" fillId="5" borderId="266" xfId="2" applyNumberFormat="1" applyFont="1" applyFill="1" applyBorder="1" applyAlignment="1">
      <alignment horizontal="center" vertical="center" textRotation="255" wrapText="1"/>
    </xf>
    <xf numFmtId="0" fontId="47" fillId="5" borderId="52" xfId="2" applyFont="1" applyFill="1" applyBorder="1" applyAlignment="1">
      <alignment horizontal="center" vertical="center" wrapText="1"/>
    </xf>
    <xf numFmtId="0" fontId="47" fillId="5" borderId="264" xfId="2" applyFont="1" applyFill="1" applyBorder="1" applyAlignment="1">
      <alignment horizontal="center" vertical="center" wrapText="1"/>
    </xf>
    <xf numFmtId="3" fontId="47" fillId="2" borderId="53" xfId="0" applyNumberFormat="1" applyFont="1" applyFill="1" applyBorder="1" applyAlignment="1">
      <alignment horizontal="center" vertical="center" wrapText="1"/>
    </xf>
    <xf numFmtId="3" fontId="37" fillId="2" borderId="45" xfId="0" applyNumberFormat="1" applyFont="1" applyFill="1" applyBorder="1" applyAlignment="1">
      <alignment horizontal="center" vertical="center" wrapText="1"/>
    </xf>
    <xf numFmtId="3" fontId="37" fillId="2" borderId="8" xfId="0" applyNumberFormat="1" applyFont="1" applyFill="1" applyBorder="1" applyAlignment="1">
      <alignment horizontal="center" vertical="center" wrapText="1"/>
    </xf>
    <xf numFmtId="3" fontId="37" fillId="2" borderId="68" xfId="0" applyNumberFormat="1" applyFont="1" applyFill="1" applyBorder="1" applyAlignment="1">
      <alignment horizontal="center" vertical="center" wrapText="1"/>
    </xf>
    <xf numFmtId="3" fontId="37" fillId="2" borderId="5" xfId="0" applyNumberFormat="1" applyFont="1" applyFill="1" applyBorder="1" applyAlignment="1">
      <alignment horizontal="center" vertical="center" textRotation="255" wrapText="1"/>
    </xf>
    <xf numFmtId="3" fontId="37" fillId="2" borderId="273" xfId="0" applyNumberFormat="1" applyFont="1" applyFill="1" applyBorder="1" applyAlignment="1">
      <alignment horizontal="center" vertical="center" textRotation="255" wrapText="1"/>
    </xf>
    <xf numFmtId="0" fontId="102" fillId="2" borderId="214" xfId="0" applyFont="1" applyFill="1" applyBorder="1" applyAlignment="1">
      <alignment horizontal="left"/>
    </xf>
    <xf numFmtId="0" fontId="102" fillId="2" borderId="228" xfId="0" applyFont="1" applyFill="1" applyBorder="1" applyAlignment="1">
      <alignment horizontal="left"/>
    </xf>
    <xf numFmtId="49" fontId="37" fillId="5" borderId="65" xfId="2" applyNumberFormat="1" applyFont="1" applyFill="1" applyBorder="1" applyAlignment="1">
      <alignment horizontal="center" vertical="center" textRotation="255" wrapText="1"/>
    </xf>
    <xf numFmtId="49" fontId="37" fillId="5" borderId="55" xfId="2" applyNumberFormat="1" applyFont="1" applyFill="1" applyBorder="1" applyAlignment="1">
      <alignment horizontal="center" vertical="center" textRotation="255" wrapText="1"/>
    </xf>
    <xf numFmtId="0" fontId="37" fillId="5" borderId="264" xfId="2" applyFont="1" applyFill="1" applyBorder="1" applyAlignment="1">
      <alignment horizontal="center" vertical="center" wrapText="1"/>
    </xf>
    <xf numFmtId="3" fontId="37" fillId="2" borderId="200" xfId="0" applyNumberFormat="1" applyFont="1" applyFill="1" applyBorder="1" applyAlignment="1">
      <alignment horizontal="center" vertical="center" wrapText="1"/>
    </xf>
    <xf numFmtId="3" fontId="37" fillId="2" borderId="10" xfId="0" applyNumberFormat="1" applyFont="1" applyFill="1" applyBorder="1" applyAlignment="1">
      <alignment horizontal="center" vertical="center" wrapText="1"/>
    </xf>
    <xf numFmtId="3" fontId="37" fillId="2" borderId="53" xfId="0" applyNumberFormat="1" applyFont="1" applyFill="1" applyBorder="1" applyAlignment="1">
      <alignment horizontal="center" vertical="center" wrapText="1"/>
    </xf>
    <xf numFmtId="3" fontId="37" fillId="20" borderId="45" xfId="0" applyNumberFormat="1" applyFont="1" applyFill="1" applyBorder="1" applyAlignment="1">
      <alignment horizontal="center" vertical="center" wrapText="1"/>
    </xf>
    <xf numFmtId="3" fontId="37" fillId="20" borderId="8" xfId="0" applyNumberFormat="1" applyFont="1" applyFill="1" applyBorder="1" applyAlignment="1">
      <alignment horizontal="center" vertical="center" wrapText="1"/>
    </xf>
    <xf numFmtId="3" fontId="37" fillId="20" borderId="68" xfId="0" applyNumberFormat="1" applyFont="1" applyFill="1" applyBorder="1" applyAlignment="1">
      <alignment horizontal="center" vertical="center" wrapText="1"/>
    </xf>
    <xf numFmtId="3" fontId="37" fillId="20" borderId="5" xfId="0" applyNumberFormat="1" applyFont="1" applyFill="1" applyBorder="1" applyAlignment="1">
      <alignment horizontal="center" vertical="center" textRotation="255" wrapText="1"/>
    </xf>
    <xf numFmtId="3" fontId="37" fillId="20" borderId="199" xfId="0" applyNumberFormat="1" applyFont="1" applyFill="1" applyBorder="1" applyAlignment="1">
      <alignment horizontal="center" vertical="center" textRotation="255" wrapText="1"/>
    </xf>
    <xf numFmtId="49" fontId="37" fillId="33" borderId="7" xfId="2" applyNumberFormat="1" applyFont="1" applyFill="1" applyBorder="1" applyAlignment="1">
      <alignment horizontal="center" vertical="center" textRotation="255" wrapText="1"/>
    </xf>
    <xf numFmtId="49" fontId="37" fillId="33" borderId="240" xfId="2" applyNumberFormat="1" applyFont="1" applyFill="1" applyBorder="1" applyAlignment="1">
      <alignment horizontal="center" vertical="center" textRotation="255" wrapText="1"/>
    </xf>
    <xf numFmtId="49" fontId="37" fillId="33" borderId="8" xfId="2" applyNumberFormat="1" applyFont="1" applyFill="1" applyBorder="1" applyAlignment="1">
      <alignment horizontal="center" vertical="center" textRotation="255" wrapText="1"/>
    </xf>
    <xf numFmtId="49" fontId="37" fillId="33" borderId="222" xfId="2" applyNumberFormat="1" applyFont="1" applyFill="1" applyBorder="1" applyAlignment="1">
      <alignment horizontal="center" vertical="center" textRotation="255" wrapText="1"/>
    </xf>
    <xf numFmtId="0" fontId="37" fillId="33" borderId="52" xfId="2" applyFont="1" applyFill="1" applyBorder="1" applyAlignment="1">
      <alignment horizontal="center" vertical="center" wrapText="1"/>
    </xf>
    <xf numFmtId="0" fontId="37" fillId="33" borderId="227" xfId="2" applyFont="1" applyFill="1" applyBorder="1" applyAlignment="1">
      <alignment horizontal="center" vertical="center" wrapText="1"/>
    </xf>
    <xf numFmtId="0" fontId="9" fillId="5" borderId="242" xfId="2" applyFont="1" applyFill="1" applyBorder="1" applyAlignment="1">
      <alignment horizontal="center" vertical="center" wrapText="1"/>
    </xf>
    <xf numFmtId="0" fontId="9" fillId="5" borderId="70" xfId="2" applyFont="1" applyFill="1" applyBorder="1" applyAlignment="1">
      <alignment horizontal="center" vertical="center" wrapText="1"/>
    </xf>
    <xf numFmtId="0" fontId="9" fillId="5" borderId="243" xfId="2" applyFont="1" applyFill="1" applyBorder="1" applyAlignment="1">
      <alignment horizontal="center" vertical="center" wrapText="1"/>
    </xf>
    <xf numFmtId="3" fontId="37" fillId="2" borderId="67" xfId="0" applyNumberFormat="1" applyFont="1" applyFill="1" applyBorder="1" applyAlignment="1">
      <alignment horizontal="center" vertical="center" wrapText="1"/>
    </xf>
    <xf numFmtId="3" fontId="37" fillId="2" borderId="52" xfId="0" applyNumberFormat="1" applyFont="1" applyFill="1" applyBorder="1" applyAlignment="1">
      <alignment horizontal="center" vertical="center" wrapText="1"/>
    </xf>
    <xf numFmtId="3" fontId="37" fillId="2" borderId="64" xfId="0" applyNumberFormat="1" applyFont="1" applyFill="1" applyBorder="1" applyAlignment="1">
      <alignment horizontal="center" vertical="center" textRotation="255" wrapText="1"/>
    </xf>
    <xf numFmtId="0" fontId="37" fillId="5" borderId="132" xfId="2" applyFont="1" applyFill="1" applyBorder="1" applyAlignment="1">
      <alignment horizontal="center" vertical="center" wrapText="1"/>
    </xf>
    <xf numFmtId="4" fontId="25" fillId="0" borderId="165" xfId="0" applyNumberFormat="1" applyFont="1" applyFill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165" xfId="0" applyFont="1" applyBorder="1" applyAlignment="1">
      <alignment horizontal="center" vertical="center" wrapText="1"/>
    </xf>
    <xf numFmtId="0" fontId="25" fillId="0" borderId="169" xfId="0" applyFont="1" applyBorder="1" applyAlignment="1">
      <alignment vertical="center" wrapText="1"/>
    </xf>
    <xf numFmtId="0" fontId="23" fillId="0" borderId="170" xfId="0" applyFont="1" applyBorder="1" applyAlignment="1">
      <alignment vertical="center" wrapText="1"/>
    </xf>
    <xf numFmtId="0" fontId="85" fillId="0" borderId="166" xfId="0" applyFont="1" applyBorder="1" applyAlignment="1">
      <alignment horizontal="center" vertical="center" wrapText="1"/>
    </xf>
    <xf numFmtId="0" fontId="85" fillId="0" borderId="167" xfId="0" applyFont="1" applyBorder="1" applyAlignment="1">
      <alignment horizontal="center" vertical="center" wrapText="1"/>
    </xf>
    <xf numFmtId="0" fontId="85" fillId="0" borderId="168" xfId="0" applyFont="1" applyBorder="1" applyAlignment="1">
      <alignment horizontal="center" vertical="center" wrapText="1"/>
    </xf>
    <xf numFmtId="0" fontId="85" fillId="0" borderId="166" xfId="0" applyFont="1" applyBorder="1" applyAlignment="1">
      <alignment vertical="center" wrapText="1"/>
    </xf>
    <xf numFmtId="0" fontId="101" fillId="0" borderId="167" xfId="0" applyFont="1" applyBorder="1" applyAlignment="1">
      <alignment vertical="center" wrapText="1"/>
    </xf>
    <xf numFmtId="0" fontId="101" fillId="0" borderId="168" xfId="0" applyFont="1" applyBorder="1" applyAlignment="1">
      <alignment vertical="center" wrapText="1"/>
    </xf>
  </cellXfs>
  <cellStyles count="11">
    <cellStyle name="Excel Built-in Normal" xfId="5"/>
    <cellStyle name="Excel Built-in Normal 1" xfId="6"/>
    <cellStyle name="Excel Built-in Normal 1 1" xfId="7"/>
    <cellStyle name="Normal 2" xfId="3"/>
    <cellStyle name="Normal 3" xfId="9"/>
    <cellStyle name="Normal 4" xfId="10"/>
    <cellStyle name="Normal_Sheet1" xfId="1"/>
    <cellStyle name="Normal_Sheet3" xfId="4"/>
    <cellStyle name="Normalno 2" xfId="8"/>
    <cellStyle name="Obično" xfId="0" builtinId="0"/>
    <cellStyle name="Obično_List1" xfId="2"/>
  </cellStyles>
  <dxfs count="0"/>
  <tableStyles count="0" defaultTableStyle="TableStyleMedium2" defaultPivotStyle="PivotStyleLight16"/>
  <colors>
    <mruColors>
      <color rgb="FF0000FF"/>
      <color rgb="FF6DF9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externalLink" Target="externalLinks/externalLink13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54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3" Type="http://schemas.openxmlformats.org/officeDocument/2006/relationships/externalLink" Target="externalLinks/externalLink16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2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52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externalLink" Target="externalLinks/externalLink11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0.0.%20Rebalans%20za%202021%20godinu%20REBALANS_GOTOV%2029_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BUD&#381;ER%20GN%202022%20AA/5.0.0.%20Rebalans%20za%202021%20godinu%20REBALANS_GOTOV%209_1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&#381;ER%20GN%202022%20AA/Bud&#382;et%20za%202022%20ZA%20RADITI%20%20@MER%2011%20J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7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8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9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0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3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4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5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6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UD&#381;ER%20GN%202022%20AA/Bud&#382;et%20za%202022%20ZA%20RADITI%20%20@MER%201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UD&#381;ER%20GN%202022%20AA/BUD&#381;ET%202022/Bud&#382;et%20za%202022%20ZA%20RADITI%2025_11_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balans"/>
      <sheetName val="PRIH REBALANS (2)"/>
      <sheetName val="PRIP REBALANS"/>
      <sheetName val="REBA prih 8 mjesec"/>
      <sheetName val="PRIH REBALANS"/>
      <sheetName val="BUDŽET 2021"/>
      <sheetName val="Sheet7"/>
      <sheetName val="ubacivanje"/>
      <sheetName val="FUNKCIJA "/>
      <sheetName val="Sheet1"/>
      <sheetName val="List1"/>
      <sheetName val="Sheet2"/>
      <sheetName val="Sheet3"/>
      <sheetName val="Sheet4"/>
      <sheetName val="Sheet5"/>
      <sheetName val="Sheet6"/>
    </sheetNames>
    <sheetDataSet>
      <sheetData sheetId="0"/>
      <sheetData sheetId="1"/>
      <sheetData sheetId="2"/>
      <sheetData sheetId="3"/>
      <sheetData sheetId="4">
        <row r="41">
          <cell r="AG41">
            <v>31794200</v>
          </cell>
          <cell r="AH41">
            <v>1640800</v>
          </cell>
          <cell r="AK41">
            <v>33435000</v>
          </cell>
        </row>
        <row r="43">
          <cell r="AK43">
            <v>13300</v>
          </cell>
        </row>
        <row r="49">
          <cell r="AK49">
            <v>8500</v>
          </cell>
        </row>
        <row r="52">
          <cell r="AK52">
            <v>6521000</v>
          </cell>
        </row>
        <row r="59">
          <cell r="AK59">
            <v>1000</v>
          </cell>
        </row>
        <row r="60">
          <cell r="AK60">
            <v>11550000</v>
          </cell>
        </row>
        <row r="61">
          <cell r="AK61">
            <v>15340000</v>
          </cell>
        </row>
        <row r="66">
          <cell r="AK66">
            <v>1200</v>
          </cell>
        </row>
        <row r="71">
          <cell r="AG71">
            <v>13693910</v>
          </cell>
          <cell r="AH71">
            <v>12149167</v>
          </cell>
        </row>
        <row r="75">
          <cell r="AH75">
            <v>4036167</v>
          </cell>
        </row>
        <row r="111">
          <cell r="AH111">
            <v>570000</v>
          </cell>
        </row>
        <row r="120">
          <cell r="AH120">
            <v>160000</v>
          </cell>
        </row>
        <row r="128">
          <cell r="AH128">
            <v>781167</v>
          </cell>
        </row>
        <row r="147">
          <cell r="AG147">
            <v>13070910</v>
          </cell>
          <cell r="AK147">
            <v>20592910</v>
          </cell>
        </row>
        <row r="148">
          <cell r="AK148">
            <v>1000000</v>
          </cell>
        </row>
        <row r="150">
          <cell r="AK150">
            <v>5508000</v>
          </cell>
        </row>
        <row r="155">
          <cell r="AG155">
            <v>5991590</v>
          </cell>
          <cell r="AH155">
            <v>5090000</v>
          </cell>
          <cell r="AK155">
            <v>11081590</v>
          </cell>
        </row>
        <row r="175">
          <cell r="AK175">
            <v>985000</v>
          </cell>
        </row>
        <row r="180">
          <cell r="AK180">
            <v>1447000</v>
          </cell>
        </row>
        <row r="186">
          <cell r="AK186">
            <v>10020</v>
          </cell>
        </row>
        <row r="189">
          <cell r="AK189">
            <v>336300</v>
          </cell>
        </row>
        <row r="196">
          <cell r="AK196">
            <v>225000</v>
          </cell>
        </row>
        <row r="200">
          <cell r="AK200">
            <v>10000</v>
          </cell>
        </row>
        <row r="202">
          <cell r="AJ202">
            <v>800000</v>
          </cell>
          <cell r="AK202">
            <v>800000</v>
          </cell>
        </row>
        <row r="216">
          <cell r="AJ216">
            <v>972311</v>
          </cell>
          <cell r="AK216">
            <v>972311</v>
          </cell>
        </row>
        <row r="217">
          <cell r="AJ217">
            <v>857311</v>
          </cell>
        </row>
        <row r="229">
          <cell r="AG229">
            <v>45488110</v>
          </cell>
          <cell r="AH229">
            <v>13789967</v>
          </cell>
          <cell r="AJ229">
            <v>1772311</v>
          </cell>
          <cell r="AK229">
            <v>61050388</v>
          </cell>
        </row>
        <row r="234">
          <cell r="AG234">
            <v>0</v>
          </cell>
        </row>
        <row r="252">
          <cell r="AK252">
            <v>14684170</v>
          </cell>
        </row>
        <row r="253">
          <cell r="AK253">
            <v>12831250</v>
          </cell>
        </row>
        <row r="254">
          <cell r="AK254">
            <v>1852920</v>
          </cell>
        </row>
        <row r="255">
          <cell r="AK255">
            <v>1435750</v>
          </cell>
        </row>
        <row r="257">
          <cell r="AK257">
            <v>18006661</v>
          </cell>
        </row>
        <row r="272">
          <cell r="AK272">
            <v>14429280</v>
          </cell>
        </row>
        <row r="283">
          <cell r="AG283">
            <v>245000</v>
          </cell>
          <cell r="AK283">
            <v>645000</v>
          </cell>
        </row>
        <row r="285">
          <cell r="AK285">
            <v>310000</v>
          </cell>
        </row>
        <row r="286">
          <cell r="AK286">
            <v>50000</v>
          </cell>
        </row>
        <row r="288">
          <cell r="AK288">
            <v>11489527</v>
          </cell>
        </row>
        <row r="289">
          <cell r="AK289">
            <v>2150000</v>
          </cell>
        </row>
        <row r="290">
          <cell r="AH290">
            <v>7591667</v>
          </cell>
          <cell r="AK290">
            <v>9339527</v>
          </cell>
        </row>
        <row r="292">
          <cell r="AH292">
            <v>13789967</v>
          </cell>
          <cell r="AK292">
            <v>61050388</v>
          </cell>
        </row>
        <row r="316">
          <cell r="AK316">
            <v>1846460</v>
          </cell>
        </row>
        <row r="318">
          <cell r="AK318">
            <v>1276460</v>
          </cell>
        </row>
        <row r="331">
          <cell r="AK331">
            <v>1138000</v>
          </cell>
        </row>
        <row r="338">
          <cell r="AK338">
            <v>1101000</v>
          </cell>
        </row>
        <row r="345">
          <cell r="AJ345">
            <v>250000</v>
          </cell>
        </row>
        <row r="352">
          <cell r="AK352">
            <v>60000</v>
          </cell>
        </row>
        <row r="361">
          <cell r="AK361">
            <v>1234050</v>
          </cell>
        </row>
        <row r="363">
          <cell r="AK363">
            <v>952200</v>
          </cell>
        </row>
        <row r="380">
          <cell r="AK380">
            <v>197000</v>
          </cell>
        </row>
        <row r="392">
          <cell r="AK392">
            <v>125000</v>
          </cell>
        </row>
        <row r="401">
          <cell r="AK401">
            <v>106850</v>
          </cell>
        </row>
        <row r="418">
          <cell r="AK418">
            <v>6850</v>
          </cell>
        </row>
        <row r="440">
          <cell r="AG440">
            <v>14200</v>
          </cell>
        </row>
        <row r="445">
          <cell r="AK445">
            <v>6500</v>
          </cell>
        </row>
        <row r="453">
          <cell r="AK453">
            <v>10655300</v>
          </cell>
        </row>
        <row r="455">
          <cell r="AK455">
            <v>8807500</v>
          </cell>
        </row>
        <row r="456">
          <cell r="AK456">
            <v>6138500</v>
          </cell>
        </row>
        <row r="457">
          <cell r="AK457">
            <v>5150000</v>
          </cell>
        </row>
        <row r="461">
          <cell r="AK461">
            <v>988500</v>
          </cell>
        </row>
        <row r="467">
          <cell r="AK467">
            <v>605000</v>
          </cell>
        </row>
        <row r="469">
          <cell r="AK469">
            <v>1804000</v>
          </cell>
        </row>
        <row r="479">
          <cell r="AK479">
            <v>125000</v>
          </cell>
        </row>
        <row r="489">
          <cell r="AK489">
            <v>250000</v>
          </cell>
        </row>
        <row r="495">
          <cell r="AK495">
            <v>1847800</v>
          </cell>
        </row>
        <row r="496">
          <cell r="AK496">
            <v>752800</v>
          </cell>
        </row>
        <row r="531">
          <cell r="AK531">
            <v>650000</v>
          </cell>
        </row>
        <row r="539">
          <cell r="AK539">
            <v>5890700</v>
          </cell>
        </row>
        <row r="541">
          <cell r="AK541">
            <v>3490700</v>
          </cell>
        </row>
        <row r="542">
          <cell r="AK542">
            <v>1135200</v>
          </cell>
        </row>
        <row r="543">
          <cell r="AK543">
            <v>1021000</v>
          </cell>
        </row>
        <row r="547">
          <cell r="AK547">
            <v>114200</v>
          </cell>
        </row>
        <row r="551">
          <cell r="AK551">
            <v>112000</v>
          </cell>
        </row>
        <row r="553">
          <cell r="AK553">
            <v>2243500</v>
          </cell>
        </row>
        <row r="562">
          <cell r="AK562">
            <v>2146500</v>
          </cell>
        </row>
        <row r="586">
          <cell r="AG586">
            <v>14335190</v>
          </cell>
          <cell r="AK586">
            <v>14546190</v>
          </cell>
        </row>
        <row r="588">
          <cell r="AK588">
            <v>1582400</v>
          </cell>
        </row>
        <row r="589">
          <cell r="AK589">
            <v>1367500</v>
          </cell>
        </row>
        <row r="590">
          <cell r="AK590">
            <v>1218000</v>
          </cell>
        </row>
        <row r="594">
          <cell r="AK594">
            <v>149500</v>
          </cell>
        </row>
        <row r="598">
          <cell r="AK598">
            <v>130000</v>
          </cell>
        </row>
        <row r="600">
          <cell r="AK600">
            <v>84900</v>
          </cell>
        </row>
        <row r="606">
          <cell r="AK606">
            <v>15900</v>
          </cell>
        </row>
        <row r="613">
          <cell r="AK613">
            <v>3271970</v>
          </cell>
        </row>
        <row r="614">
          <cell r="AG614">
            <v>185000</v>
          </cell>
          <cell r="AJ614">
            <v>50000</v>
          </cell>
        </row>
        <row r="624">
          <cell r="AG624">
            <v>35000</v>
          </cell>
        </row>
        <row r="633">
          <cell r="AG633">
            <v>2806970</v>
          </cell>
        </row>
        <row r="646">
          <cell r="AG646">
            <v>9000</v>
          </cell>
        </row>
        <row r="650">
          <cell r="AG650">
            <v>36000</v>
          </cell>
        </row>
        <row r="654">
          <cell r="AK654">
            <v>5815690</v>
          </cell>
        </row>
        <row r="656">
          <cell r="AG656">
            <v>2341590</v>
          </cell>
          <cell r="AK656">
            <v>2341590</v>
          </cell>
        </row>
        <row r="662">
          <cell r="AG662">
            <v>5000</v>
          </cell>
        </row>
        <row r="664">
          <cell r="AG664">
            <v>11000</v>
          </cell>
        </row>
        <row r="666">
          <cell r="AG666">
            <v>966790</v>
          </cell>
          <cell r="AK666">
            <v>966790</v>
          </cell>
        </row>
        <row r="692">
          <cell r="AG692">
            <v>14000</v>
          </cell>
        </row>
        <row r="693">
          <cell r="AG693">
            <v>9000</v>
          </cell>
        </row>
        <row r="694">
          <cell r="AG694">
            <v>1056310</v>
          </cell>
        </row>
        <row r="695">
          <cell r="AG695">
            <v>62000</v>
          </cell>
        </row>
        <row r="723">
          <cell r="AK723">
            <v>3429130</v>
          </cell>
        </row>
        <row r="771">
          <cell r="AK771">
            <v>447000</v>
          </cell>
        </row>
        <row r="788">
          <cell r="AK788">
            <v>9067667</v>
          </cell>
        </row>
        <row r="790">
          <cell r="AK790">
            <v>2391500</v>
          </cell>
        </row>
        <row r="791">
          <cell r="AK791">
            <v>1866000</v>
          </cell>
        </row>
        <row r="792">
          <cell r="AK792">
            <v>1674000</v>
          </cell>
        </row>
        <row r="797">
          <cell r="AK797">
            <v>192000</v>
          </cell>
        </row>
        <row r="801">
          <cell r="AK801">
            <v>176000</v>
          </cell>
        </row>
        <row r="803">
          <cell r="AK803">
            <v>349500</v>
          </cell>
        </row>
        <row r="809">
          <cell r="AK809">
            <v>239500</v>
          </cell>
        </row>
        <row r="822">
          <cell r="AK822">
            <v>200000</v>
          </cell>
        </row>
        <row r="846">
          <cell r="AH846">
            <v>6416167</v>
          </cell>
          <cell r="AK846">
            <v>6416167</v>
          </cell>
        </row>
        <row r="847">
          <cell r="AK847">
            <v>4036167</v>
          </cell>
        </row>
        <row r="879">
          <cell r="AH879">
            <v>2150000</v>
          </cell>
        </row>
        <row r="906">
          <cell r="AK906">
            <v>60000</v>
          </cell>
        </row>
        <row r="908">
          <cell r="AK908">
            <v>15742111</v>
          </cell>
        </row>
        <row r="910">
          <cell r="AK910">
            <v>2737000</v>
          </cell>
        </row>
        <row r="911">
          <cell r="AK911">
            <v>2402000</v>
          </cell>
        </row>
        <row r="912">
          <cell r="AK912">
            <v>2180000</v>
          </cell>
        </row>
        <row r="916">
          <cell r="AG916">
            <v>222000</v>
          </cell>
        </row>
        <row r="928">
          <cell r="AG928">
            <v>12000</v>
          </cell>
          <cell r="AK928">
            <v>12000</v>
          </cell>
        </row>
        <row r="933">
          <cell r="AK933">
            <v>1190311</v>
          </cell>
        </row>
        <row r="935">
          <cell r="AG935">
            <v>15000</v>
          </cell>
        </row>
        <row r="936">
          <cell r="AG936">
            <v>15000</v>
          </cell>
        </row>
        <row r="937">
          <cell r="AG937">
            <v>50000</v>
          </cell>
        </row>
        <row r="938">
          <cell r="AG938">
            <v>10000</v>
          </cell>
        </row>
        <row r="939">
          <cell r="AG939">
            <v>15000</v>
          </cell>
        </row>
        <row r="940">
          <cell r="AG940">
            <v>5000</v>
          </cell>
        </row>
        <row r="941">
          <cell r="AG941">
            <v>3000</v>
          </cell>
        </row>
        <row r="947">
          <cell r="AG947">
            <v>300000</v>
          </cell>
        </row>
        <row r="948">
          <cell r="AG948">
            <v>100000</v>
          </cell>
        </row>
        <row r="968">
          <cell r="AG968">
            <v>20000</v>
          </cell>
        </row>
        <row r="969">
          <cell r="AJ969">
            <v>0</v>
          </cell>
        </row>
        <row r="973">
          <cell r="AK973">
            <v>10484800</v>
          </cell>
        </row>
        <row r="975">
          <cell r="AG975">
            <v>2250000</v>
          </cell>
        </row>
        <row r="976">
          <cell r="AG976">
            <v>400000</v>
          </cell>
        </row>
        <row r="977">
          <cell r="AG977">
            <v>900000</v>
          </cell>
        </row>
        <row r="978">
          <cell r="AG978">
            <v>50000</v>
          </cell>
        </row>
        <row r="979">
          <cell r="AG979">
            <v>900000</v>
          </cell>
        </row>
        <row r="980">
          <cell r="AG980">
            <v>110000</v>
          </cell>
        </row>
        <row r="981">
          <cell r="AG981">
            <v>900000</v>
          </cell>
        </row>
        <row r="982">
          <cell r="AG982">
            <v>30000</v>
          </cell>
        </row>
        <row r="983">
          <cell r="AG983">
            <v>100000</v>
          </cell>
        </row>
        <row r="984">
          <cell r="AG984">
            <v>20000</v>
          </cell>
        </row>
        <row r="985">
          <cell r="AG985">
            <v>130000</v>
          </cell>
        </row>
        <row r="987">
          <cell r="AG987">
            <v>450000</v>
          </cell>
        </row>
        <row r="989">
          <cell r="AH989">
            <v>500000</v>
          </cell>
        </row>
        <row r="990">
          <cell r="AH990">
            <v>1835000</v>
          </cell>
        </row>
        <row r="991">
          <cell r="AH991">
            <v>200000</v>
          </cell>
        </row>
        <row r="993">
          <cell r="AH993">
            <v>25000</v>
          </cell>
        </row>
        <row r="995">
          <cell r="AH995">
            <v>65000</v>
          </cell>
        </row>
        <row r="1001">
          <cell r="AH1001">
            <v>30000</v>
          </cell>
        </row>
        <row r="1004">
          <cell r="AG1004">
            <v>200000</v>
          </cell>
        </row>
        <row r="1005">
          <cell r="AG1005">
            <v>30000</v>
          </cell>
        </row>
        <row r="1009">
          <cell r="AG1009">
            <v>1000000</v>
          </cell>
        </row>
        <row r="1012">
          <cell r="AG1012">
            <v>20000</v>
          </cell>
        </row>
        <row r="1013">
          <cell r="AG1013">
            <v>50000</v>
          </cell>
        </row>
        <row r="1016">
          <cell r="AG1016">
            <v>20000</v>
          </cell>
        </row>
        <row r="1018">
          <cell r="AG1018">
            <v>5000</v>
          </cell>
        </row>
        <row r="1019">
          <cell r="AG1019">
            <v>20000</v>
          </cell>
        </row>
        <row r="1020">
          <cell r="AG1020">
            <v>100000</v>
          </cell>
        </row>
        <row r="1023">
          <cell r="AG1023">
            <v>20000</v>
          </cell>
        </row>
        <row r="1025">
          <cell r="AH1025">
            <v>70000</v>
          </cell>
        </row>
        <row r="1028">
          <cell r="AG1028">
            <v>40000</v>
          </cell>
        </row>
        <row r="1031">
          <cell r="AG1031">
            <v>1500</v>
          </cell>
        </row>
        <row r="1032">
          <cell r="AG1032">
            <v>3300</v>
          </cell>
        </row>
        <row r="1033">
          <cell r="AG1033">
            <v>10000</v>
          </cell>
        </row>
        <row r="1037">
          <cell r="AK1037">
            <v>290000</v>
          </cell>
        </row>
        <row r="1039">
          <cell r="AJ1039">
            <v>0</v>
          </cell>
        </row>
        <row r="1040">
          <cell r="AK1040">
            <v>1040000</v>
          </cell>
        </row>
        <row r="1041">
          <cell r="AJ1041">
            <v>350000</v>
          </cell>
        </row>
        <row r="1043">
          <cell r="AG1043">
            <v>400000</v>
          </cell>
        </row>
        <row r="1047">
          <cell r="AK1047">
            <v>684900</v>
          </cell>
        </row>
        <row r="1051">
          <cell r="AK1051">
            <v>248000</v>
          </cell>
        </row>
        <row r="1054">
          <cell r="AK1054">
            <v>27700</v>
          </cell>
        </row>
        <row r="1060">
          <cell r="AK1060">
            <v>26000</v>
          </cell>
        </row>
        <row r="1062">
          <cell r="AK1062">
            <v>328200</v>
          </cell>
        </row>
        <row r="1070">
          <cell r="AK1070">
            <v>158200</v>
          </cell>
        </row>
        <row r="1081">
          <cell r="AK1081">
            <v>55000</v>
          </cell>
        </row>
        <row r="1083">
          <cell r="AK1083">
            <v>468240</v>
          </cell>
        </row>
        <row r="1086">
          <cell r="AK1086">
            <v>326250</v>
          </cell>
        </row>
        <row r="1089">
          <cell r="AK1089">
            <v>57140</v>
          </cell>
        </row>
        <row r="1094">
          <cell r="AK1094">
            <v>38250</v>
          </cell>
        </row>
        <row r="1096">
          <cell r="AK1096">
            <v>41600</v>
          </cell>
        </row>
        <row r="1103">
          <cell r="AK1103">
            <v>9100</v>
          </cell>
        </row>
        <row r="1112">
          <cell r="AK1112">
            <v>5000</v>
          </cell>
        </row>
        <row r="1114">
          <cell r="AK1114">
            <v>826970</v>
          </cell>
        </row>
        <row r="1117">
          <cell r="AK1117">
            <v>218000</v>
          </cell>
        </row>
        <row r="1120">
          <cell r="AK1120">
            <v>34320</v>
          </cell>
        </row>
        <row r="1125">
          <cell r="AK1125">
            <v>23000</v>
          </cell>
        </row>
        <row r="1127">
          <cell r="AK1127">
            <v>51650</v>
          </cell>
        </row>
        <row r="1134">
          <cell r="AK1134">
            <v>16150</v>
          </cell>
        </row>
        <row r="1145">
          <cell r="AK1145">
            <v>495000</v>
          </cell>
        </row>
        <row r="1153">
          <cell r="AG1153">
            <v>45488110</v>
          </cell>
          <cell r="AK1153">
            <v>61050388</v>
          </cell>
        </row>
        <row r="1155">
          <cell r="AH1155">
            <v>13789967</v>
          </cell>
          <cell r="AJ1155">
            <v>1772311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aslovnica"/>
      <sheetName val="Naslovnica-nevažeća"/>
      <sheetName val="Prihodi-opći dio"/>
      <sheetName val="prihodi posebni dio"/>
      <sheetName val="GP PRIHODI 2021"/>
      <sheetName val="GP Prihodi"/>
      <sheetName val="Rashodi i izdaci-opći dio"/>
      <sheetName val="List4"/>
      <sheetName val="Rashodi i izdaci-poseban dio"/>
      <sheetName val="List6"/>
      <sheetName val="List3"/>
      <sheetName val="List2"/>
      <sheetName val="List1"/>
      <sheetName val="Služba za nekretnine"/>
      <sheetName val="Služba za kulturu-Prilog br. 1"/>
      <sheetName val="Služba za odgoj-Prilog br. 2"/>
      <sheetName val="Socijani segment-Prilog br.3"/>
      <sheetName val="Zaštita boraca-Prilog br.4"/>
      <sheetName val="Građenje i obnova-Prilog br.5"/>
      <sheetName val="Sl. za gr. inf GP Pri 6"/>
      <sheetName val="GP KAPITA GRA"/>
      <sheetName val="Sl za gra. Nak od ele. pr PR 7"/>
      <sheetName val="Slu izg inf stru ob Ka gran 8 "/>
      <sheetName val="Služba za privredu-Prilog br.9"/>
      <sheetName val="Sl. za kom. posl.-Prilog br. 10"/>
      <sheetName val="BSC Prilog br 11"/>
      <sheetName val="ASG tab 12"/>
      <sheetName val="Tekući grantovi"/>
      <sheetName val="List7"/>
      <sheetName val="GP prihodi tab 13"/>
      <sheetName val="List5"/>
      <sheetName val=" SL inf Kapitalni grantovi 14"/>
      <sheetName val="Tekući grantovi 15"/>
      <sheetName val="Fond"/>
      <sheetName val="Funkcija"/>
      <sheetName val="Agencija Stari grad-Pril. br.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0">
          <cell r="O20">
            <v>5000</v>
          </cell>
        </row>
        <row r="57">
          <cell r="O57">
            <v>20000</v>
          </cell>
        </row>
        <row r="92">
          <cell r="O92">
            <v>500</v>
          </cell>
        </row>
        <row r="115">
          <cell r="O115">
            <v>1000</v>
          </cell>
        </row>
        <row r="143">
          <cell r="O143">
            <v>2000</v>
          </cell>
        </row>
        <row r="222">
          <cell r="O222">
            <v>1000</v>
          </cell>
        </row>
        <row r="261">
          <cell r="O261">
            <v>2500</v>
          </cell>
        </row>
        <row r="314">
          <cell r="O314">
            <v>1500</v>
          </cell>
        </row>
        <row r="387">
          <cell r="O387">
            <v>2000</v>
          </cell>
        </row>
        <row r="446">
          <cell r="O446">
            <v>1000</v>
          </cell>
        </row>
        <row r="478">
          <cell r="O478">
            <v>3500</v>
          </cell>
        </row>
        <row r="509">
          <cell r="O509">
            <v>1000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balans"/>
      <sheetName val="PRIP REBALANS"/>
      <sheetName val="REBA prih 8 mjesec"/>
      <sheetName val="PRIH REBALANS"/>
      <sheetName val="BUDŽET 2021"/>
      <sheetName val="Sheet7"/>
      <sheetName val="ubacivanje"/>
      <sheetName val="FUNKCIJA "/>
      <sheetName val="Sheet1"/>
      <sheetName val="List1"/>
      <sheetName val="Sheet2"/>
      <sheetName val="Sheet3"/>
      <sheetName val="Sheet4"/>
      <sheetName val="Sheet5"/>
      <sheetName val="Sheet6"/>
    </sheetNames>
    <sheetDataSet>
      <sheetData sheetId="0"/>
      <sheetData sheetId="1"/>
      <sheetData sheetId="2"/>
      <sheetData sheetId="3">
        <row r="316">
          <cell r="AK316">
            <v>1855760</v>
          </cell>
        </row>
        <row r="771">
          <cell r="AK771">
            <v>447000</v>
          </cell>
        </row>
        <row r="1143">
          <cell r="AH1143">
            <v>400000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FND"/>
      <sheetName val="BUDŽET 2021  ŠTA JE"/>
      <sheetName val="BUDŽET 2021"/>
      <sheetName val="Sheet7"/>
      <sheetName val="ubacivanje"/>
      <sheetName val="FUNKCIJA "/>
      <sheetName val="Sheet1"/>
      <sheetName val="List1"/>
      <sheetName val="Sheet2"/>
      <sheetName val="Sheet3"/>
      <sheetName val="Sheet4"/>
      <sheetName val="Sheet5"/>
      <sheetName val="Sheet6"/>
    </sheetNames>
    <sheetDataSet>
      <sheetData sheetId="0"/>
      <sheetData sheetId="1">
        <row r="810">
          <cell r="Y810">
            <v>1972540.2359999996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OFND"/>
      <sheetName val="BUDŽET 2021 (2)"/>
      <sheetName val="BUDŽET 2021"/>
      <sheetName val="ubacivanje"/>
      <sheetName val="FUNKCIJA "/>
      <sheetName val="Sheet1"/>
      <sheetName val="List1"/>
      <sheetName val="Sheet2"/>
      <sheetName val="Sheet3"/>
      <sheetName val="Sheet4"/>
      <sheetName val="Sheet5"/>
      <sheetName val="Sheet6"/>
    </sheetNames>
    <sheetDataSet>
      <sheetData sheetId="0"/>
      <sheetData sheetId="1"/>
      <sheetData sheetId="2">
        <row r="55">
          <cell r="K55">
            <v>31097484</v>
          </cell>
        </row>
        <row r="870">
          <cell r="N870">
            <v>10495374.860000001</v>
          </cell>
        </row>
        <row r="871">
          <cell r="N871">
            <v>941741.98</v>
          </cell>
        </row>
        <row r="872">
          <cell r="N872">
            <v>572770</v>
          </cell>
        </row>
        <row r="874">
          <cell r="N874">
            <v>368971.98</v>
          </cell>
        </row>
        <row r="875">
          <cell r="N875">
            <v>1694285.42</v>
          </cell>
        </row>
        <row r="876">
          <cell r="N876">
            <v>1215065</v>
          </cell>
        </row>
        <row r="878">
          <cell r="N878">
            <v>738768.35</v>
          </cell>
        </row>
        <row r="879">
          <cell r="N879">
            <v>414040</v>
          </cell>
        </row>
        <row r="880">
          <cell r="N880">
            <v>324728.34999999998</v>
          </cell>
        </row>
        <row r="882">
          <cell r="N882">
            <v>254264.48</v>
          </cell>
        </row>
        <row r="883">
          <cell r="N883">
            <v>88015</v>
          </cell>
        </row>
        <row r="886">
          <cell r="N886">
            <v>2474552.7800000003</v>
          </cell>
        </row>
        <row r="887">
          <cell r="N887">
            <v>1525070</v>
          </cell>
        </row>
        <row r="890">
          <cell r="N890">
            <v>2397167.13</v>
          </cell>
        </row>
        <row r="891">
          <cell r="N891">
            <v>807700</v>
          </cell>
        </row>
        <row r="893">
          <cell r="N893">
            <v>1589467.13</v>
          </cell>
        </row>
        <row r="894">
          <cell r="N894">
            <v>796284.72</v>
          </cell>
        </row>
        <row r="895">
          <cell r="N895">
            <v>171070</v>
          </cell>
        </row>
        <row r="897">
          <cell r="N897">
            <v>625214.71999999997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OFND"/>
      <sheetName val="BUDŽET 2021"/>
      <sheetName val="ubacivanje"/>
      <sheetName val="FUNKCIJA "/>
      <sheetName val="Sheet1"/>
      <sheetName val="List1"/>
      <sheetName val="Sheet2"/>
      <sheetName val="Sheet3"/>
      <sheetName val="Sheet4"/>
      <sheetName val="Sheet5"/>
      <sheetName val="Sheet6"/>
    </sheetNames>
    <sheetDataSet>
      <sheetData sheetId="0"/>
      <sheetData sheetId="1">
        <row r="78">
          <cell r="N78">
            <v>836586.52</v>
          </cell>
        </row>
        <row r="867">
          <cell r="N867">
            <v>9226624.8599999994</v>
          </cell>
        </row>
        <row r="874">
          <cell r="N874">
            <v>479220.42</v>
          </cell>
        </row>
        <row r="882">
          <cell r="N882">
            <v>166249.48000000001</v>
          </cell>
        </row>
        <row r="886">
          <cell r="N886">
            <v>949482.78</v>
          </cell>
        </row>
        <row r="895">
          <cell r="N895">
            <v>944560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balans"/>
      <sheetName val="PRIP REBALANS"/>
      <sheetName val="REBA prih 8 mjesec"/>
      <sheetName val="PRIH REBALANS"/>
      <sheetName val="BUDŽET 2021"/>
      <sheetName val="Sheet7"/>
      <sheetName val="ubacivanje"/>
      <sheetName val="FUNKCIJA "/>
      <sheetName val="Sheet1"/>
      <sheetName val="List1"/>
      <sheetName val="Sheet2"/>
      <sheetName val="Sheet3"/>
      <sheetName val="Sheet4"/>
      <sheetName val="Sheet5"/>
      <sheetName val="Sheet6"/>
    </sheetNames>
    <sheetDataSet>
      <sheetData sheetId="0"/>
      <sheetData sheetId="1"/>
      <sheetData sheetId="2"/>
      <sheetData sheetId="3">
        <row r="971">
          <cell r="AJ971">
            <v>39560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kapital"/>
    </sheetNames>
    <sheetDataSet>
      <sheetData sheetId="0">
        <row r="4">
          <cell r="K4">
            <v>82371.16</v>
          </cell>
        </row>
        <row r="15">
          <cell r="K15">
            <v>2876584.08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46">
          <cell r="F46">
            <v>245814.6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FND"/>
      <sheetName val="BUDŽET 2021"/>
      <sheetName val="ubacivanje"/>
      <sheetName val="FUNKCIJA "/>
      <sheetName val="Sheet1"/>
      <sheetName val="List1"/>
      <sheetName val="Sheet2"/>
      <sheetName val="Sheet3"/>
      <sheetName val="Sheet4"/>
      <sheetName val="Sheet5"/>
      <sheetName val="Sheet6"/>
      <sheetName val="Rebalans"/>
      <sheetName val="PRIP REBALANS"/>
      <sheetName val="REBA prih 8 mjesec"/>
      <sheetName val="PRIH REBALANS"/>
      <sheetName val="Sheet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55">
          <cell r="AI55">
            <v>836586</v>
          </cell>
          <cell r="AK55">
            <v>34166686</v>
          </cell>
        </row>
        <row r="85">
          <cell r="AG85">
            <v>19322359.600000001</v>
          </cell>
          <cell r="AH85">
            <v>16651218</v>
          </cell>
          <cell r="AI85">
            <v>16545922.609999999</v>
          </cell>
          <cell r="AK85">
            <v>52519500.210000001</v>
          </cell>
        </row>
        <row r="89">
          <cell r="AK89">
            <v>11005759</v>
          </cell>
        </row>
        <row r="133">
          <cell r="J133">
            <v>86451.73</v>
          </cell>
        </row>
        <row r="136">
          <cell r="J136">
            <v>559011.80000000005</v>
          </cell>
        </row>
        <row r="139">
          <cell r="I139">
            <v>944003.06</v>
          </cell>
        </row>
        <row r="167">
          <cell r="AH167">
            <v>9810000</v>
          </cell>
          <cell r="AI167">
            <v>10412927.42</v>
          </cell>
        </row>
        <row r="176">
          <cell r="AI176">
            <v>563160</v>
          </cell>
        </row>
        <row r="179">
          <cell r="AI179">
            <v>679784</v>
          </cell>
        </row>
        <row r="182">
          <cell r="AI182">
            <v>35152.089999999997</v>
          </cell>
        </row>
        <row r="185">
          <cell r="AI185">
            <v>814027</v>
          </cell>
        </row>
        <row r="189">
          <cell r="AI189">
            <v>3560481</v>
          </cell>
        </row>
        <row r="191">
          <cell r="AI191">
            <v>136070</v>
          </cell>
        </row>
        <row r="192">
          <cell r="AI192">
            <v>34064</v>
          </cell>
        </row>
        <row r="195">
          <cell r="AH195">
            <v>920000</v>
          </cell>
          <cell r="AI195">
            <v>373098.33</v>
          </cell>
        </row>
        <row r="222">
          <cell r="AI222">
            <v>534803.21000000008</v>
          </cell>
          <cell r="AJ222">
            <v>1977773</v>
          </cell>
        </row>
        <row r="236">
          <cell r="AI236">
            <v>2647794.06</v>
          </cell>
          <cell r="AJ236">
            <v>4658567</v>
          </cell>
        </row>
        <row r="237">
          <cell r="AJ237">
            <v>274323</v>
          </cell>
        </row>
        <row r="242">
          <cell r="AJ242">
            <v>3825871</v>
          </cell>
        </row>
        <row r="246">
          <cell r="AJ246">
            <v>558373</v>
          </cell>
        </row>
        <row r="249">
          <cell r="AH249">
            <v>18471868</v>
          </cell>
          <cell r="AI249">
            <v>20789696.879999999</v>
          </cell>
          <cell r="AJ249">
            <v>6636340</v>
          </cell>
          <cell r="AK249">
            <v>96729714.480000004</v>
          </cell>
        </row>
        <row r="272">
          <cell r="AK272">
            <v>14649787</v>
          </cell>
        </row>
        <row r="273">
          <cell r="AG273">
            <v>12765500</v>
          </cell>
          <cell r="AJ273">
            <v>39090</v>
          </cell>
          <cell r="AK273">
            <v>12804590</v>
          </cell>
        </row>
        <row r="274">
          <cell r="AG274">
            <v>1845197</v>
          </cell>
        </row>
        <row r="275">
          <cell r="AK275">
            <v>1419700</v>
          </cell>
        </row>
        <row r="276">
          <cell r="AG276">
            <v>1419700</v>
          </cell>
        </row>
        <row r="277">
          <cell r="AK277">
            <v>24493464</v>
          </cell>
        </row>
        <row r="278">
          <cell r="AG278">
            <v>41000</v>
          </cell>
        </row>
        <row r="279">
          <cell r="AG279">
            <v>2876500</v>
          </cell>
        </row>
        <row r="280">
          <cell r="AG280">
            <v>4693000</v>
          </cell>
          <cell r="AH280">
            <v>395000</v>
          </cell>
          <cell r="AK280">
            <v>5088000</v>
          </cell>
        </row>
        <row r="282">
          <cell r="AG282">
            <v>228500</v>
          </cell>
          <cell r="AH282">
            <v>150000</v>
          </cell>
          <cell r="AK282">
            <v>378500</v>
          </cell>
        </row>
        <row r="283">
          <cell r="AI283">
            <v>50000</v>
          </cell>
        </row>
        <row r="284">
          <cell r="AG284">
            <v>1850210</v>
          </cell>
          <cell r="AH284">
            <v>100000</v>
          </cell>
        </row>
        <row r="286">
          <cell r="AG286">
            <v>102000</v>
          </cell>
        </row>
        <row r="287">
          <cell r="AH287">
            <v>2847500</v>
          </cell>
          <cell r="AI287">
            <v>756587</v>
          </cell>
        </row>
        <row r="290">
          <cell r="AG290">
            <v>7796950</v>
          </cell>
          <cell r="AH290">
            <v>437000</v>
          </cell>
          <cell r="AJ290">
            <v>39560</v>
          </cell>
          <cell r="AK290">
            <v>8273510</v>
          </cell>
        </row>
        <row r="291">
          <cell r="AI291">
            <v>793657</v>
          </cell>
        </row>
        <row r="292">
          <cell r="AK292">
            <v>16930911</v>
          </cell>
        </row>
        <row r="293">
          <cell r="AG293">
            <v>5318625</v>
          </cell>
        </row>
        <row r="295">
          <cell r="AG295">
            <v>1005000</v>
          </cell>
        </row>
        <row r="297">
          <cell r="AG297">
            <v>6581628</v>
          </cell>
          <cell r="AJ297">
            <v>736060</v>
          </cell>
        </row>
        <row r="298">
          <cell r="AI298">
            <v>346005</v>
          </cell>
        </row>
        <row r="300">
          <cell r="AG300">
            <v>1558000</v>
          </cell>
          <cell r="AJ300">
            <v>730020</v>
          </cell>
        </row>
        <row r="303">
          <cell r="AG303">
            <v>335000</v>
          </cell>
          <cell r="AH303">
            <v>953357</v>
          </cell>
          <cell r="AI303">
            <v>200645</v>
          </cell>
          <cell r="AJ303">
            <v>268043</v>
          </cell>
        </row>
        <row r="307">
          <cell r="AK307">
            <v>59609907</v>
          </cell>
        </row>
        <row r="308">
          <cell r="AK308">
            <v>37124809.090000004</v>
          </cell>
        </row>
        <row r="309">
          <cell r="AH309">
            <v>1900000</v>
          </cell>
        </row>
        <row r="310">
          <cell r="AG310">
            <v>1151000</v>
          </cell>
          <cell r="AH310">
            <v>11508011</v>
          </cell>
          <cell r="AJ310">
            <v>4783567</v>
          </cell>
        </row>
        <row r="311">
          <cell r="AI311">
            <v>17782231.09</v>
          </cell>
        </row>
        <row r="312">
          <cell r="AG312">
            <v>50836810</v>
          </cell>
          <cell r="AH312">
            <v>18471868</v>
          </cell>
          <cell r="AI312">
            <v>20789698.09</v>
          </cell>
          <cell r="AJ312">
            <v>6636340</v>
          </cell>
        </row>
        <row r="336">
          <cell r="AK336">
            <v>1690267</v>
          </cell>
        </row>
        <row r="340">
          <cell r="AK340">
            <v>65000</v>
          </cell>
        </row>
        <row r="343">
          <cell r="AK343">
            <v>3450</v>
          </cell>
        </row>
        <row r="349">
          <cell r="AK349">
            <v>10000</v>
          </cell>
        </row>
        <row r="351">
          <cell r="AK351">
            <v>973000</v>
          </cell>
        </row>
        <row r="358">
          <cell r="AK358">
            <v>939000</v>
          </cell>
        </row>
        <row r="380">
          <cell r="AG380">
            <v>1322750</v>
          </cell>
          <cell r="AK380">
            <v>1322750</v>
          </cell>
        </row>
        <row r="384">
          <cell r="AK384">
            <v>600000</v>
          </cell>
        </row>
        <row r="389">
          <cell r="AK389">
            <v>49110</v>
          </cell>
        </row>
        <row r="395">
          <cell r="AK395">
            <v>314000</v>
          </cell>
        </row>
        <row r="399">
          <cell r="AK399">
            <v>272000</v>
          </cell>
        </row>
        <row r="400">
          <cell r="AG400">
            <v>4000</v>
          </cell>
        </row>
        <row r="401">
          <cell r="AG401">
            <v>35000</v>
          </cell>
        </row>
        <row r="403">
          <cell r="AG403">
            <v>115000</v>
          </cell>
        </row>
        <row r="405">
          <cell r="AG405">
            <v>2000</v>
          </cell>
        </row>
        <row r="407">
          <cell r="AG407">
            <v>15000</v>
          </cell>
        </row>
        <row r="411">
          <cell r="AK411">
            <v>140000</v>
          </cell>
        </row>
        <row r="420">
          <cell r="AK420">
            <v>104640</v>
          </cell>
        </row>
        <row r="421">
          <cell r="AK421">
            <v>104640</v>
          </cell>
        </row>
        <row r="423">
          <cell r="AK423">
            <v>78000</v>
          </cell>
        </row>
        <row r="426">
          <cell r="AK426">
            <v>7190</v>
          </cell>
        </row>
        <row r="446">
          <cell r="AK446">
            <v>79950</v>
          </cell>
        </row>
        <row r="472">
          <cell r="AK472">
            <v>15263060</v>
          </cell>
        </row>
        <row r="474">
          <cell r="AK474">
            <v>8916407</v>
          </cell>
        </row>
        <row r="476">
          <cell r="AK476">
            <v>5189090</v>
          </cell>
        </row>
        <row r="480">
          <cell r="AK480">
            <v>1011726</v>
          </cell>
        </row>
        <row r="486">
          <cell r="AK486">
            <v>602000</v>
          </cell>
        </row>
        <row r="488">
          <cell r="AK488">
            <v>1585000</v>
          </cell>
        </row>
        <row r="498">
          <cell r="AK498">
            <v>168000</v>
          </cell>
        </row>
        <row r="508">
          <cell r="AK508">
            <v>519591</v>
          </cell>
        </row>
        <row r="514">
          <cell r="AH514">
            <v>1770650</v>
          </cell>
          <cell r="AI514">
            <v>4576003</v>
          </cell>
        </row>
        <row r="515">
          <cell r="AK515">
            <v>1510000</v>
          </cell>
        </row>
        <row r="531">
          <cell r="AK531">
            <v>192000</v>
          </cell>
        </row>
        <row r="550">
          <cell r="AH550">
            <v>735650</v>
          </cell>
          <cell r="AI550">
            <v>3576003</v>
          </cell>
        </row>
        <row r="551">
          <cell r="AH551">
            <v>200000</v>
          </cell>
        </row>
        <row r="552">
          <cell r="AH552">
            <v>335650</v>
          </cell>
        </row>
        <row r="554">
          <cell r="AH554">
            <v>200000</v>
          </cell>
        </row>
        <row r="558">
          <cell r="AK558">
            <v>10175721.440000001</v>
          </cell>
        </row>
        <row r="560">
          <cell r="AK560">
            <v>7223200</v>
          </cell>
        </row>
        <row r="561">
          <cell r="AK561">
            <v>1131700</v>
          </cell>
        </row>
        <row r="562">
          <cell r="AK562">
            <v>1018000</v>
          </cell>
        </row>
        <row r="566">
          <cell r="AK566">
            <v>113700</v>
          </cell>
        </row>
        <row r="572">
          <cell r="AK572">
            <v>5981500</v>
          </cell>
        </row>
        <row r="581">
          <cell r="AK581">
            <v>5884500</v>
          </cell>
        </row>
        <row r="605">
          <cell r="AK605">
            <v>16549326.050000001</v>
          </cell>
        </row>
        <row r="607">
          <cell r="AK607">
            <v>1572125</v>
          </cell>
        </row>
        <row r="608">
          <cell r="AK608">
            <v>1368725</v>
          </cell>
        </row>
        <row r="609">
          <cell r="AK609">
            <v>1220000</v>
          </cell>
        </row>
        <row r="613">
          <cell r="AK613">
            <v>148725</v>
          </cell>
        </row>
        <row r="619">
          <cell r="AK619">
            <v>73400</v>
          </cell>
        </row>
        <row r="625">
          <cell r="AK625">
            <v>11900</v>
          </cell>
        </row>
        <row r="632">
          <cell r="AK632">
            <v>3577803</v>
          </cell>
        </row>
        <row r="633">
          <cell r="AG633">
            <v>245000</v>
          </cell>
          <cell r="AJ633">
            <v>40000</v>
          </cell>
        </row>
        <row r="643">
          <cell r="AG643">
            <v>70000</v>
          </cell>
        </row>
        <row r="648">
          <cell r="AI648">
            <v>10000</v>
          </cell>
        </row>
        <row r="649">
          <cell r="AG649">
            <v>125000</v>
          </cell>
          <cell r="AJ649">
            <v>150000</v>
          </cell>
        </row>
        <row r="650">
          <cell r="AI650">
            <v>30000</v>
          </cell>
        </row>
        <row r="651">
          <cell r="AI651">
            <v>10005</v>
          </cell>
        </row>
        <row r="652">
          <cell r="AG652">
            <v>2771970</v>
          </cell>
        </row>
        <row r="665">
          <cell r="AG665">
            <v>9000</v>
          </cell>
        </row>
        <row r="667">
          <cell r="AI667">
            <v>5000</v>
          </cell>
        </row>
        <row r="668">
          <cell r="AI668">
            <v>8000</v>
          </cell>
          <cell r="AJ668">
            <v>16000</v>
          </cell>
        </row>
        <row r="669">
          <cell r="AG669">
            <v>87828</v>
          </cell>
        </row>
        <row r="673">
          <cell r="AK673">
            <v>6886070</v>
          </cell>
        </row>
        <row r="737">
          <cell r="AG737">
            <v>3448130</v>
          </cell>
          <cell r="AH737">
            <v>11000</v>
          </cell>
          <cell r="AI737">
            <v>150638.04999999999</v>
          </cell>
          <cell r="AJ737">
            <v>498560</v>
          </cell>
        </row>
        <row r="738">
          <cell r="AK738">
            <v>257690</v>
          </cell>
        </row>
        <row r="761">
          <cell r="AI761">
            <v>27639</v>
          </cell>
        </row>
        <row r="802">
          <cell r="AG802">
            <v>2722700</v>
          </cell>
          <cell r="AK802">
            <v>32022754.660000004</v>
          </cell>
        </row>
        <row r="804">
          <cell r="AK804">
            <v>3047984</v>
          </cell>
        </row>
        <row r="806">
          <cell r="AK806">
            <v>1674000</v>
          </cell>
        </row>
        <row r="811">
          <cell r="AK811">
            <v>189500</v>
          </cell>
        </row>
        <row r="815">
          <cell r="AK815">
            <v>175700</v>
          </cell>
        </row>
        <row r="817">
          <cell r="AK817">
            <v>1008784</v>
          </cell>
        </row>
        <row r="818">
          <cell r="AG818">
            <v>1500</v>
          </cell>
        </row>
        <row r="823">
          <cell r="AK823">
            <v>915284</v>
          </cell>
        </row>
        <row r="836">
          <cell r="AK836">
            <v>1946046</v>
          </cell>
        </row>
        <row r="837">
          <cell r="AG837">
            <v>7500</v>
          </cell>
        </row>
        <row r="838">
          <cell r="AG838">
            <v>2000</v>
          </cell>
        </row>
        <row r="842">
          <cell r="AG842">
            <v>75000</v>
          </cell>
          <cell r="AI842">
            <v>45315</v>
          </cell>
        </row>
        <row r="843">
          <cell r="AI843">
            <v>80000</v>
          </cell>
        </row>
        <row r="847">
          <cell r="AG847">
            <v>100000</v>
          </cell>
        </row>
        <row r="848">
          <cell r="AG848">
            <v>280000</v>
          </cell>
        </row>
        <row r="851">
          <cell r="AI851">
            <v>69574</v>
          </cell>
        </row>
        <row r="852">
          <cell r="AI852">
            <v>81630</v>
          </cell>
        </row>
        <row r="855">
          <cell r="AI855">
            <v>814027</v>
          </cell>
        </row>
        <row r="859">
          <cell r="AI859">
            <v>100000</v>
          </cell>
        </row>
        <row r="860">
          <cell r="AK860">
            <v>26938724.660000004</v>
          </cell>
        </row>
        <row r="861">
          <cell r="AK861">
            <v>10723552.660000002</v>
          </cell>
        </row>
        <row r="863">
          <cell r="AH863">
            <v>572770</v>
          </cell>
        </row>
        <row r="865">
          <cell r="AI865">
            <v>368971.98</v>
          </cell>
        </row>
        <row r="866">
          <cell r="AK866">
            <v>1694285</v>
          </cell>
        </row>
        <row r="867">
          <cell r="AH867">
            <v>1215065</v>
          </cell>
        </row>
        <row r="869">
          <cell r="AK869">
            <v>738768.35</v>
          </cell>
        </row>
        <row r="873">
          <cell r="AK873">
            <v>359274.48</v>
          </cell>
        </row>
        <row r="874">
          <cell r="AH874">
            <v>193025</v>
          </cell>
        </row>
        <row r="878">
          <cell r="AH878">
            <v>1285113</v>
          </cell>
        </row>
        <row r="882">
          <cell r="AK882">
            <v>2399667.13</v>
          </cell>
        </row>
        <row r="883">
          <cell r="AH883">
            <v>810200</v>
          </cell>
        </row>
        <row r="885">
          <cell r="AI885">
            <v>1589467.13</v>
          </cell>
        </row>
        <row r="886">
          <cell r="AK886">
            <v>846284.72</v>
          </cell>
        </row>
        <row r="887">
          <cell r="AH887">
            <v>221070</v>
          </cell>
        </row>
        <row r="890">
          <cell r="AH890">
            <v>1243935</v>
          </cell>
        </row>
        <row r="893">
          <cell r="AH893">
            <v>4011643</v>
          </cell>
        </row>
        <row r="894">
          <cell r="AI894">
            <v>3485151</v>
          </cell>
        </row>
        <row r="895">
          <cell r="AI895">
            <v>34064</v>
          </cell>
        </row>
        <row r="899">
          <cell r="AH899">
            <v>688357</v>
          </cell>
        </row>
        <row r="902">
          <cell r="AJ902">
            <v>3825871</v>
          </cell>
        </row>
        <row r="903">
          <cell r="AI903">
            <v>688802</v>
          </cell>
        </row>
        <row r="907">
          <cell r="AI907">
            <v>389612</v>
          </cell>
        </row>
        <row r="908">
          <cell r="I908">
            <v>389611.81</v>
          </cell>
          <cell r="AI908">
            <v>175468</v>
          </cell>
        </row>
        <row r="909">
          <cell r="AI909">
            <v>1356863</v>
          </cell>
          <cell r="AJ909">
            <v>558373</v>
          </cell>
        </row>
        <row r="912">
          <cell r="AH912">
            <v>150000</v>
          </cell>
        </row>
        <row r="914">
          <cell r="AH914">
            <v>60000</v>
          </cell>
        </row>
        <row r="916">
          <cell r="AI916">
            <v>615633</v>
          </cell>
        </row>
        <row r="918">
          <cell r="AI918">
            <v>5</v>
          </cell>
        </row>
        <row r="919">
          <cell r="AI919">
            <v>100000</v>
          </cell>
        </row>
        <row r="922">
          <cell r="AK922">
            <v>17621786</v>
          </cell>
        </row>
        <row r="924">
          <cell r="AK924">
            <v>2725496</v>
          </cell>
        </row>
        <row r="926">
          <cell r="AK926">
            <v>2180000</v>
          </cell>
        </row>
        <row r="930">
          <cell r="AK930">
            <v>221096</v>
          </cell>
        </row>
        <row r="936">
          <cell r="AK936">
            <v>94400</v>
          </cell>
        </row>
        <row r="942">
          <cell r="AK942">
            <v>12400</v>
          </cell>
        </row>
        <row r="947">
          <cell r="AK947">
            <v>1411349</v>
          </cell>
        </row>
        <row r="953">
          <cell r="AG953">
            <v>15000</v>
          </cell>
        </row>
        <row r="954">
          <cell r="AG954">
            <v>5000</v>
          </cell>
        </row>
        <row r="955">
          <cell r="AG955">
            <v>3000</v>
          </cell>
        </row>
        <row r="966">
          <cell r="AG966">
            <v>20000</v>
          </cell>
        </row>
        <row r="971">
          <cell r="AJ971">
            <v>39560</v>
          </cell>
        </row>
        <row r="972">
          <cell r="AI972">
            <v>36234</v>
          </cell>
        </row>
        <row r="976">
          <cell r="AI976">
            <v>53749</v>
          </cell>
          <cell r="AJ976">
            <v>82371</v>
          </cell>
        </row>
        <row r="983">
          <cell r="AJ983">
            <v>61435</v>
          </cell>
        </row>
        <row r="986">
          <cell r="AK986">
            <v>12937381</v>
          </cell>
        </row>
        <row r="987">
          <cell r="AK987">
            <v>5600000</v>
          </cell>
        </row>
        <row r="990">
          <cell r="AG990">
            <v>900000</v>
          </cell>
        </row>
        <row r="991">
          <cell r="AG991">
            <v>10000</v>
          </cell>
        </row>
        <row r="992">
          <cell r="AG992">
            <v>850000</v>
          </cell>
        </row>
        <row r="993">
          <cell r="AG993">
            <v>100000</v>
          </cell>
        </row>
        <row r="994">
          <cell r="AG994">
            <v>850000</v>
          </cell>
        </row>
        <row r="995">
          <cell r="AG995">
            <v>20000</v>
          </cell>
        </row>
        <row r="996">
          <cell r="AG996">
            <v>90000</v>
          </cell>
        </row>
        <row r="997">
          <cell r="AG997">
            <v>10000</v>
          </cell>
        </row>
        <row r="998">
          <cell r="AG998">
            <v>260000</v>
          </cell>
        </row>
        <row r="1000">
          <cell r="AH1000">
            <v>2740000</v>
          </cell>
          <cell r="AK1000">
            <v>3946587</v>
          </cell>
        </row>
        <row r="1004">
          <cell r="AI1004">
            <v>756587</v>
          </cell>
        </row>
        <row r="1010">
          <cell r="AI1010">
            <v>80000</v>
          </cell>
        </row>
        <row r="1011">
          <cell r="AI1011">
            <v>373098</v>
          </cell>
        </row>
        <row r="1013">
          <cell r="AH1013">
            <v>35000</v>
          </cell>
        </row>
        <row r="1016">
          <cell r="AG1016">
            <v>610000</v>
          </cell>
        </row>
        <row r="1017">
          <cell r="AG1017">
            <v>30000</v>
          </cell>
        </row>
        <row r="1020">
          <cell r="AG1020">
            <v>758000</v>
          </cell>
          <cell r="AI1020">
            <v>31756</v>
          </cell>
          <cell r="AJ1020">
            <v>730020</v>
          </cell>
        </row>
        <row r="1024">
          <cell r="AG1024">
            <v>35000</v>
          </cell>
        </row>
        <row r="1025">
          <cell r="AG1025">
            <v>50000</v>
          </cell>
        </row>
        <row r="1028">
          <cell r="AG1028">
            <v>20000</v>
          </cell>
        </row>
        <row r="1030">
          <cell r="AG1030">
            <v>60000</v>
          </cell>
        </row>
        <row r="1031">
          <cell r="AG1031">
            <v>60000</v>
          </cell>
        </row>
        <row r="1032">
          <cell r="AG1032">
            <v>100000</v>
          </cell>
        </row>
        <row r="1035">
          <cell r="AG1035">
            <v>10000</v>
          </cell>
        </row>
        <row r="1036">
          <cell r="AG1036">
            <v>135000</v>
          </cell>
        </row>
        <row r="1037">
          <cell r="AH1037">
            <v>80000</v>
          </cell>
        </row>
        <row r="1038">
          <cell r="AI1038">
            <v>35152</v>
          </cell>
        </row>
        <row r="1039">
          <cell r="AG1039">
            <v>81000</v>
          </cell>
          <cell r="AI1039">
            <v>6703</v>
          </cell>
        </row>
        <row r="1040">
          <cell r="AG1040">
            <v>40000</v>
          </cell>
        </row>
        <row r="1052">
          <cell r="AK1052">
            <v>257560</v>
          </cell>
        </row>
        <row r="1054">
          <cell r="AJ1054">
            <v>130517</v>
          </cell>
        </row>
        <row r="1059">
          <cell r="AK1059">
            <v>549800</v>
          </cell>
        </row>
        <row r="1066">
          <cell r="AK1066">
            <v>27000</v>
          </cell>
        </row>
        <row r="1072">
          <cell r="AK1072">
            <v>26000</v>
          </cell>
        </row>
        <row r="1074">
          <cell r="AK1074">
            <v>244300</v>
          </cell>
        </row>
        <row r="1082">
          <cell r="AK1082">
            <v>101300</v>
          </cell>
        </row>
        <row r="1095">
          <cell r="AK1095">
            <v>375300</v>
          </cell>
        </row>
        <row r="1098">
          <cell r="AK1098">
            <v>268000</v>
          </cell>
        </row>
        <row r="1101">
          <cell r="AK1101">
            <v>33200</v>
          </cell>
        </row>
        <row r="1106">
          <cell r="AK1106">
            <v>28000</v>
          </cell>
        </row>
        <row r="1126">
          <cell r="AK1126">
            <v>1084000.94</v>
          </cell>
        </row>
        <row r="1132">
          <cell r="AK1132">
            <v>32700</v>
          </cell>
        </row>
        <row r="1139">
          <cell r="AK1139">
            <v>54550</v>
          </cell>
        </row>
        <row r="1146">
          <cell r="AK1146">
            <v>17050</v>
          </cell>
        </row>
        <row r="1155">
          <cell r="AK1155">
            <v>755750.94</v>
          </cell>
        </row>
        <row r="1165">
          <cell r="AG1165">
            <v>50836810</v>
          </cell>
          <cell r="AH1165">
            <v>18471868</v>
          </cell>
          <cell r="AI1165">
            <v>20789698.09</v>
          </cell>
          <cell r="AJ1165">
            <v>6636340</v>
          </cell>
          <cell r="AK1165">
            <v>96734716.090000004</v>
          </cell>
        </row>
      </sheetData>
      <sheetData sheetId="1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FND"/>
      <sheetName val="Prva stranica Budžeta"/>
      <sheetName val="BUDŽET 2021"/>
      <sheetName val="FUNKCIJA "/>
      <sheetName val="Sheet1"/>
      <sheetName val="List1"/>
      <sheetName val="Sheet2"/>
      <sheetName val="Sheet3"/>
      <sheetName val="Sheet4"/>
      <sheetName val="Prihodi-opći dio"/>
      <sheetName val="Sheet6"/>
      <sheetName val="Sheet7"/>
      <sheetName val="Sheet9"/>
      <sheetName val="Sheet10"/>
      <sheetName val="Sheet11"/>
      <sheetName val="Rebalans"/>
      <sheetName val="PRIP REBALANS"/>
      <sheetName val="REBA prih 8 mjesec"/>
      <sheetName val="PRIH REBALANS"/>
      <sheetName val="ubacivanje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>
        <row r="55">
          <cell r="AI55">
            <v>836586</v>
          </cell>
        </row>
        <row r="76">
          <cell r="AG76">
            <v>13246000</v>
          </cell>
        </row>
        <row r="85">
          <cell r="AI85">
            <v>16545922.609999999</v>
          </cell>
        </row>
        <row r="89">
          <cell r="AK89">
            <v>11005759</v>
          </cell>
        </row>
        <row r="222">
          <cell r="AI222">
            <v>534803.21000000008</v>
          </cell>
        </row>
        <row r="236">
          <cell r="AI236">
            <v>2647794.06</v>
          </cell>
        </row>
        <row r="248">
          <cell r="AI248">
            <v>224591</v>
          </cell>
        </row>
        <row r="249">
          <cell r="AG249">
            <v>50927809.600000001</v>
          </cell>
          <cell r="AH249">
            <v>18471868</v>
          </cell>
          <cell r="AJ249">
            <v>6636340</v>
          </cell>
          <cell r="AK249">
            <v>96825714.480000004</v>
          </cell>
        </row>
        <row r="272">
          <cell r="AK272">
            <v>14649787</v>
          </cell>
        </row>
        <row r="273">
          <cell r="AK273">
            <v>12804590</v>
          </cell>
        </row>
        <row r="274">
          <cell r="AK274">
            <v>1845197</v>
          </cell>
        </row>
        <row r="275">
          <cell r="AK275">
            <v>1419700</v>
          </cell>
        </row>
        <row r="277">
          <cell r="AK277">
            <v>24493464</v>
          </cell>
        </row>
        <row r="292">
          <cell r="AK292">
            <v>16925911</v>
          </cell>
        </row>
        <row r="293">
          <cell r="AG293">
            <v>5303625</v>
          </cell>
        </row>
        <row r="294">
          <cell r="AK294">
            <v>8817</v>
          </cell>
        </row>
        <row r="295">
          <cell r="AG295">
            <v>1015000</v>
          </cell>
        </row>
        <row r="298">
          <cell r="AK298">
            <v>346005</v>
          </cell>
        </row>
        <row r="301">
          <cell r="AK301">
            <v>301756</v>
          </cell>
        </row>
        <row r="302">
          <cell r="AK302">
            <v>130000</v>
          </cell>
        </row>
        <row r="303">
          <cell r="AG303">
            <v>335000</v>
          </cell>
          <cell r="AH303">
            <v>1089357</v>
          </cell>
          <cell r="AI303">
            <v>200645</v>
          </cell>
          <cell r="AK303">
            <v>1893045</v>
          </cell>
        </row>
        <row r="305">
          <cell r="AK305">
            <v>309000</v>
          </cell>
        </row>
        <row r="306">
          <cell r="AK306">
            <v>50000</v>
          </cell>
        </row>
        <row r="310">
          <cell r="AG310">
            <v>1247000</v>
          </cell>
          <cell r="AH310">
            <v>11372011</v>
          </cell>
          <cell r="AJ310">
            <v>4783567</v>
          </cell>
          <cell r="AK310">
            <v>17402578</v>
          </cell>
        </row>
        <row r="311">
          <cell r="AI311">
            <v>14429074.15</v>
          </cell>
        </row>
        <row r="312">
          <cell r="AG312">
            <v>50927810</v>
          </cell>
          <cell r="AH312">
            <v>18471868</v>
          </cell>
          <cell r="AJ312">
            <v>6636340</v>
          </cell>
        </row>
        <row r="336">
          <cell r="AK336">
            <v>1690267</v>
          </cell>
        </row>
        <row r="380">
          <cell r="AK380">
            <v>1307750</v>
          </cell>
        </row>
        <row r="420">
          <cell r="AK420">
            <v>104640</v>
          </cell>
        </row>
        <row r="446">
          <cell r="AK446">
            <v>79950</v>
          </cell>
        </row>
        <row r="472">
          <cell r="AK472">
            <v>15263060</v>
          </cell>
        </row>
        <row r="474">
          <cell r="AK474">
            <v>8916407</v>
          </cell>
        </row>
        <row r="558">
          <cell r="AK558">
            <v>10175721.440000001</v>
          </cell>
        </row>
        <row r="893">
          <cell r="AH893">
            <v>3875643</v>
          </cell>
        </row>
        <row r="894">
          <cell r="AI894">
            <v>3485151</v>
          </cell>
        </row>
        <row r="899">
          <cell r="AH899">
            <v>824357</v>
          </cell>
        </row>
        <row r="906">
          <cell r="AI906">
            <v>75330</v>
          </cell>
        </row>
        <row r="1126">
          <cell r="AK1126">
            <v>1084000.94</v>
          </cell>
        </row>
        <row r="1165">
          <cell r="AG1165">
            <v>50927810</v>
          </cell>
          <cell r="AH1165">
            <v>18471868</v>
          </cell>
          <cell r="AI1165">
            <v>20789698.09</v>
          </cell>
          <cell r="AJ1165">
            <v>6636340</v>
          </cell>
          <cell r="AK1165">
            <v>76036018</v>
          </cell>
        </row>
        <row r="1167">
          <cell r="AG1167">
            <v>50927810</v>
          </cell>
        </row>
      </sheetData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FND"/>
      <sheetName val="BUDŽET 2021"/>
      <sheetName val="ubacivanje"/>
      <sheetName val="FUNKCIJA "/>
      <sheetName val="Sheet1"/>
      <sheetName val="List1"/>
      <sheetName val="Sheet2"/>
      <sheetName val="Sheet3"/>
      <sheetName val="Sheet4"/>
      <sheetName val="Sheet5"/>
      <sheetName val="Sheet6"/>
    </sheetNames>
    <sheetDataSet>
      <sheetData sheetId="0"/>
      <sheetData sheetId="1">
        <row r="55">
          <cell r="Q55">
            <v>30296586.52</v>
          </cell>
        </row>
        <row r="85">
          <cell r="Q85">
            <v>36334627.200000003</v>
          </cell>
        </row>
        <row r="204">
          <cell r="Q204">
            <v>821945.25</v>
          </cell>
        </row>
        <row r="217">
          <cell r="Q217">
            <v>9526592.2899999991</v>
          </cell>
        </row>
        <row r="230">
          <cell r="Q230">
            <v>76979750.74000001</v>
          </cell>
        </row>
        <row r="253">
          <cell r="K253">
            <v>14392097</v>
          </cell>
          <cell r="Q253">
            <v>14486480</v>
          </cell>
          <cell r="R253">
            <v>100.65579741437263</v>
          </cell>
        </row>
        <row r="255">
          <cell r="R255">
            <v>102.92794663944835</v>
          </cell>
        </row>
        <row r="256">
          <cell r="K256">
            <v>1386500</v>
          </cell>
          <cell r="Q256">
            <v>1400000</v>
          </cell>
        </row>
        <row r="258">
          <cell r="K258">
            <v>18995252</v>
          </cell>
          <cell r="Q258">
            <v>18654337</v>
          </cell>
          <cell r="R258">
            <v>98.205262030743256</v>
          </cell>
        </row>
        <row r="259">
          <cell r="R259">
            <v>110.81081081081081</v>
          </cell>
        </row>
        <row r="260">
          <cell r="R260">
            <v>102.51308900523559</v>
          </cell>
        </row>
        <row r="261">
          <cell r="R261">
            <v>111.02429475102784</v>
          </cell>
        </row>
        <row r="263">
          <cell r="R263">
            <v>115.33646322378716</v>
          </cell>
        </row>
        <row r="265">
          <cell r="R265">
            <v>99.008888289816923</v>
          </cell>
        </row>
        <row r="267">
          <cell r="R267">
            <v>107.46268656716418</v>
          </cell>
        </row>
        <row r="273">
          <cell r="K273">
            <v>15414834.01</v>
          </cell>
          <cell r="Q273">
            <v>13648931.26</v>
          </cell>
          <cell r="R273">
            <v>88.544133859278588</v>
          </cell>
        </row>
        <row r="278">
          <cell r="M278">
            <v>6220000</v>
          </cell>
        </row>
        <row r="281">
          <cell r="M281">
            <v>998000</v>
          </cell>
        </row>
        <row r="283">
          <cell r="Q283">
            <v>100000</v>
          </cell>
        </row>
        <row r="284">
          <cell r="K284">
            <v>2202000</v>
          </cell>
          <cell r="Q284">
            <v>449315</v>
          </cell>
        </row>
        <row r="285">
          <cell r="K285">
            <v>300000</v>
          </cell>
        </row>
        <row r="286">
          <cell r="K286">
            <v>319000</v>
          </cell>
        </row>
        <row r="290">
          <cell r="K290">
            <v>1237000</v>
          </cell>
        </row>
        <row r="291">
          <cell r="K291">
            <v>14234742.15</v>
          </cell>
          <cell r="N291">
            <v>14791595</v>
          </cell>
          <cell r="Q291">
            <v>25431687.289999999</v>
          </cell>
        </row>
        <row r="292">
          <cell r="K292">
            <v>15356533</v>
          </cell>
        </row>
        <row r="1021">
          <cell r="Q1021">
            <v>18000</v>
          </cell>
        </row>
        <row r="1113">
          <cell r="Q1113">
            <v>0</v>
          </cell>
          <cell r="R111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FND"/>
      <sheetName val="Prva stranica Budžeta"/>
      <sheetName val="BUDŽET 2021"/>
      <sheetName val="FUNKCIJA "/>
      <sheetName val="Sheet1"/>
      <sheetName val="List1"/>
      <sheetName val="Sheet2"/>
      <sheetName val="Sheet3"/>
      <sheetName val="Sheet4"/>
      <sheetName val="Prihodi-opći dio"/>
      <sheetName val="Sheet6"/>
      <sheetName val="Sheet7"/>
      <sheetName val="Sheet9"/>
      <sheetName val="Sheet10"/>
      <sheetName val="Sheet11"/>
    </sheetNames>
    <sheetDataSet>
      <sheetData sheetId="0" refreshError="1"/>
      <sheetData sheetId="1" refreshError="1"/>
      <sheetData sheetId="2" refreshError="1">
        <row r="8">
          <cell r="H8">
            <v>30949513</v>
          </cell>
        </row>
        <row r="254">
          <cell r="K254">
            <v>14392097</v>
          </cell>
        </row>
        <row r="257">
          <cell r="K257">
            <v>1386500</v>
          </cell>
        </row>
        <row r="259">
          <cell r="K259">
            <v>18995252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RIHODI "/>
      <sheetName val="PRVO OVO"/>
      <sheetName val="Sheet2"/>
    </sheetNames>
    <sheetDataSet>
      <sheetData sheetId="0">
        <row r="23">
          <cell r="S23">
            <v>11540000</v>
          </cell>
        </row>
        <row r="40">
          <cell r="S40">
            <v>600000</v>
          </cell>
        </row>
        <row r="41">
          <cell r="T41">
            <v>400000</v>
          </cell>
        </row>
        <row r="44">
          <cell r="S44">
            <v>15000</v>
          </cell>
        </row>
        <row r="46">
          <cell r="S46">
            <v>1000</v>
          </cell>
        </row>
        <row r="47">
          <cell r="T47">
            <v>60000</v>
          </cell>
        </row>
        <row r="50">
          <cell r="T50">
            <v>11000</v>
          </cell>
        </row>
        <row r="56">
          <cell r="W56">
            <v>5008000</v>
          </cell>
        </row>
        <row r="61">
          <cell r="S61">
            <v>7515000</v>
          </cell>
        </row>
        <row r="92">
          <cell r="S92">
            <v>10009.6</v>
          </cell>
        </row>
        <row r="95">
          <cell r="S95">
            <v>335350</v>
          </cell>
        </row>
        <row r="102">
          <cell r="S102">
            <v>4720000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balans"/>
      <sheetName val="PRIP REBALANS"/>
      <sheetName val="REBA prih 8 mjesec"/>
      <sheetName val="PRIH REBALANS"/>
      <sheetName val="BUDŽET 2021"/>
      <sheetName val="Sheet7"/>
      <sheetName val="ubacivanje"/>
      <sheetName val="FUNKCIJA "/>
      <sheetName val="Sheet1"/>
      <sheetName val="List1"/>
      <sheetName val="Sheet2"/>
      <sheetName val="Sheet3"/>
      <sheetName val="Sheet4"/>
      <sheetName val="Sheet5"/>
      <sheetName val="Sheet6"/>
    </sheetNames>
    <sheetDataSet>
      <sheetData sheetId="0"/>
      <sheetData sheetId="1"/>
      <sheetData sheetId="2"/>
      <sheetData sheetId="3">
        <row r="156">
          <cell r="AI156">
            <v>276631.19</v>
          </cell>
        </row>
        <row r="157">
          <cell r="AI157">
            <v>79</v>
          </cell>
        </row>
        <row r="161">
          <cell r="AI161">
            <v>389612</v>
          </cell>
        </row>
        <row r="164">
          <cell r="AI164">
            <v>65499</v>
          </cell>
        </row>
        <row r="167">
          <cell r="AH167">
            <v>9810000</v>
          </cell>
          <cell r="AI167">
            <v>10412927.42</v>
          </cell>
        </row>
        <row r="632">
          <cell r="AI632">
            <v>63005</v>
          </cell>
          <cell r="AJ632">
            <v>206000</v>
          </cell>
        </row>
        <row r="737">
          <cell r="AH737">
            <v>11000</v>
          </cell>
          <cell r="AI737">
            <v>150638.04999999999</v>
          </cell>
          <cell r="AJ737">
            <v>498560</v>
          </cell>
        </row>
        <row r="738">
          <cell r="AI738">
            <v>15000</v>
          </cell>
        </row>
        <row r="754">
          <cell r="AI754">
            <v>5000</v>
          </cell>
        </row>
        <row r="759">
          <cell r="AI759">
            <v>12500</v>
          </cell>
        </row>
        <row r="761">
          <cell r="AI761">
            <v>27639</v>
          </cell>
        </row>
        <row r="763">
          <cell r="AI763">
            <v>25000</v>
          </cell>
        </row>
        <row r="947">
          <cell r="AI947">
            <v>214983</v>
          </cell>
          <cell r="AJ947">
            <v>233366</v>
          </cell>
        </row>
        <row r="986">
          <cell r="AG986">
            <v>8068565</v>
          </cell>
          <cell r="AH986">
            <v>2855000</v>
          </cell>
          <cell r="AI986">
            <v>1283796</v>
          </cell>
          <cell r="AJ986">
            <v>730020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balans"/>
      <sheetName val="PRIP REBALANS"/>
      <sheetName val="REBA prih 8 mjesec"/>
      <sheetName val="PRIH REBALANS"/>
      <sheetName val="BUDŽET 2021"/>
      <sheetName val="Sheet7"/>
      <sheetName val="ubacivanje"/>
      <sheetName val="FUNKCIJA "/>
      <sheetName val="Sheet1"/>
      <sheetName val="List1"/>
      <sheetName val="Sheet2"/>
      <sheetName val="Sheet3"/>
      <sheetName val="Sheet4"/>
      <sheetName val="Sheet5"/>
      <sheetName val="Sheet6"/>
    </sheetNames>
    <sheetDataSet>
      <sheetData sheetId="0" refreshError="1"/>
      <sheetData sheetId="1" refreshError="1"/>
      <sheetData sheetId="2" refreshError="1"/>
      <sheetData sheetId="3" refreshError="1">
        <row r="41">
          <cell r="AG41">
            <v>31008900</v>
          </cell>
        </row>
        <row r="63">
          <cell r="AH63">
            <v>1200000</v>
          </cell>
        </row>
        <row r="65">
          <cell r="AH65">
            <v>440000</v>
          </cell>
        </row>
        <row r="67">
          <cell r="AH67">
            <v>650</v>
          </cell>
        </row>
        <row r="147">
          <cell r="AH147">
            <v>7322000</v>
          </cell>
        </row>
        <row r="156">
          <cell r="AH156">
            <v>400000</v>
          </cell>
        </row>
        <row r="159">
          <cell r="G159" t="str">
            <v>Naknada za tehničke preglede objekata</v>
          </cell>
        </row>
        <row r="175">
          <cell r="AH175">
            <v>985000</v>
          </cell>
        </row>
        <row r="176">
          <cell r="AH176">
            <v>280000</v>
          </cell>
        </row>
        <row r="177">
          <cell r="AH177">
            <v>640000</v>
          </cell>
        </row>
        <row r="178">
          <cell r="AH178">
            <v>65000</v>
          </cell>
        </row>
        <row r="180">
          <cell r="AH180">
            <v>1447000</v>
          </cell>
        </row>
        <row r="181">
          <cell r="AH181">
            <v>1300000</v>
          </cell>
        </row>
        <row r="183">
          <cell r="AH183">
            <v>95000</v>
          </cell>
        </row>
        <row r="184">
          <cell r="AH184">
            <v>32000</v>
          </cell>
        </row>
        <row r="185">
          <cell r="AH185">
            <v>20000</v>
          </cell>
        </row>
        <row r="202">
          <cell r="AJ202">
            <v>550000</v>
          </cell>
        </row>
        <row r="216">
          <cell r="AJ216">
            <v>972311</v>
          </cell>
        </row>
        <row r="229">
          <cell r="AJ229">
            <v>1522311</v>
          </cell>
        </row>
        <row r="702">
          <cell r="AG702">
            <v>50000</v>
          </cell>
        </row>
        <row r="710">
          <cell r="AG710">
            <v>20000</v>
          </cell>
        </row>
        <row r="711">
          <cell r="AG711">
            <v>20000</v>
          </cell>
        </row>
        <row r="712">
          <cell r="AG712">
            <v>40000</v>
          </cell>
        </row>
        <row r="713">
          <cell r="AG713">
            <v>200000</v>
          </cell>
        </row>
        <row r="714">
          <cell r="AG714">
            <v>50000</v>
          </cell>
        </row>
        <row r="715">
          <cell r="AG715">
            <v>5000</v>
          </cell>
        </row>
        <row r="908">
          <cell r="AK908">
            <v>17325451</v>
          </cell>
        </row>
        <row r="910">
          <cell r="AK910">
            <v>2995340</v>
          </cell>
        </row>
        <row r="912">
          <cell r="AK912">
            <v>2329940</v>
          </cell>
        </row>
        <row r="916">
          <cell r="AK916">
            <v>329500</v>
          </cell>
        </row>
        <row r="920">
          <cell r="AK920">
            <v>228900</v>
          </cell>
        </row>
        <row r="922">
          <cell r="AK922">
            <v>107000</v>
          </cell>
        </row>
        <row r="923">
          <cell r="AG923">
            <v>3000</v>
          </cell>
        </row>
        <row r="925">
          <cell r="AG925">
            <v>10000</v>
          </cell>
        </row>
        <row r="927">
          <cell r="AG927">
            <v>20000</v>
          </cell>
        </row>
        <row r="928">
          <cell r="AK928">
            <v>14000</v>
          </cell>
        </row>
        <row r="929">
          <cell r="AG929">
            <v>2000</v>
          </cell>
        </row>
        <row r="933">
          <cell r="AK933">
            <v>1090311</v>
          </cell>
        </row>
        <row r="935">
          <cell r="AG935">
            <v>15000</v>
          </cell>
        </row>
        <row r="936">
          <cell r="AG936">
            <v>15000</v>
          </cell>
        </row>
        <row r="937">
          <cell r="AG937">
            <v>50000</v>
          </cell>
        </row>
        <row r="938">
          <cell r="AG938">
            <v>10000</v>
          </cell>
        </row>
        <row r="939">
          <cell r="AG939">
            <v>15000</v>
          </cell>
        </row>
        <row r="940">
          <cell r="AG940">
            <v>5000</v>
          </cell>
        </row>
        <row r="941">
          <cell r="AG941">
            <v>3000</v>
          </cell>
        </row>
        <row r="947">
          <cell r="AG947">
            <v>300000</v>
          </cell>
        </row>
        <row r="972">
          <cell r="AK972">
            <v>11909800</v>
          </cell>
        </row>
        <row r="974">
          <cell r="AG974">
            <v>2250000</v>
          </cell>
        </row>
        <row r="975">
          <cell r="AG975">
            <v>600000</v>
          </cell>
        </row>
        <row r="976">
          <cell r="AG976">
            <v>1200000</v>
          </cell>
        </row>
        <row r="977">
          <cell r="AG977">
            <v>10000</v>
          </cell>
        </row>
        <row r="978">
          <cell r="AG978">
            <v>900000</v>
          </cell>
        </row>
        <row r="979">
          <cell r="AG979">
            <v>110000</v>
          </cell>
        </row>
        <row r="980">
          <cell r="AG980">
            <v>900000</v>
          </cell>
        </row>
        <row r="981">
          <cell r="AG981">
            <v>30000</v>
          </cell>
        </row>
        <row r="982">
          <cell r="AG982">
            <v>100000</v>
          </cell>
        </row>
        <row r="983">
          <cell r="AG983">
            <v>20000</v>
          </cell>
        </row>
        <row r="986">
          <cell r="AG986">
            <v>500000</v>
          </cell>
        </row>
        <row r="1002">
          <cell r="AG1002">
            <v>1200000</v>
          </cell>
        </row>
        <row r="1003">
          <cell r="AG1003">
            <v>30000</v>
          </cell>
        </row>
        <row r="1011">
          <cell r="AG1011">
            <v>50000</v>
          </cell>
        </row>
        <row r="1014">
          <cell r="AG1014">
            <v>20000</v>
          </cell>
        </row>
        <row r="1016">
          <cell r="AG1016">
            <v>70000</v>
          </cell>
        </row>
        <row r="1017">
          <cell r="AG1017">
            <v>40000</v>
          </cell>
        </row>
        <row r="1021">
          <cell r="AG1021">
            <v>60000</v>
          </cell>
        </row>
        <row r="1026">
          <cell r="AG1026">
            <v>40000</v>
          </cell>
        </row>
        <row r="1029">
          <cell r="AG1029">
            <v>1500</v>
          </cell>
        </row>
        <row r="1030">
          <cell r="AG1030">
            <v>3300</v>
          </cell>
        </row>
        <row r="1031">
          <cell r="AG1031">
            <v>10000</v>
          </cell>
        </row>
        <row r="1035">
          <cell r="AK1035">
            <v>290000</v>
          </cell>
        </row>
        <row r="1039">
          <cell r="AJ1039">
            <v>350000</v>
          </cell>
        </row>
        <row r="1045">
          <cell r="AK1045">
            <v>717220</v>
          </cell>
        </row>
        <row r="1055">
          <cell r="AG1055">
            <v>31900</v>
          </cell>
        </row>
        <row r="1057">
          <cell r="AG1057">
            <v>6120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balans"/>
      <sheetName val="PRIH REBALANS (2)"/>
      <sheetName val="PRIP REBALANS"/>
      <sheetName val="REBA prih 8 mjesec"/>
      <sheetName val="PRIH REBALANS"/>
      <sheetName val="BUDŽET 2021"/>
      <sheetName val="Sheet7"/>
      <sheetName val="ubacivanje"/>
      <sheetName val="FUNKCIJA "/>
      <sheetName val="Sheet1"/>
      <sheetName val="List1"/>
      <sheetName val="Sheet2"/>
      <sheetName val="Sheet3"/>
      <sheetName val="Sheet4"/>
      <sheetName val="Sheet5"/>
      <sheetName val="Sheet6"/>
    </sheetNames>
    <sheetDataSet>
      <sheetData sheetId="0"/>
      <sheetData sheetId="1"/>
      <sheetData sheetId="2"/>
      <sheetData sheetId="3"/>
      <sheetData sheetId="4">
        <row r="128">
          <cell r="AH128">
            <v>813716</v>
          </cell>
        </row>
        <row r="252">
          <cell r="AK252">
            <v>14684170</v>
          </cell>
        </row>
        <row r="255">
          <cell r="AK255">
            <v>1435750</v>
          </cell>
        </row>
        <row r="257">
          <cell r="AK257">
            <v>18006661</v>
          </cell>
        </row>
        <row r="267">
          <cell r="AG267">
            <v>801000</v>
          </cell>
        </row>
        <row r="272">
          <cell r="AK272">
            <v>14429280</v>
          </cell>
        </row>
        <row r="277">
          <cell r="AG277">
            <v>6296800</v>
          </cell>
        </row>
        <row r="292">
          <cell r="AG292">
            <v>45488110</v>
          </cell>
          <cell r="AJ292">
            <v>1772311</v>
          </cell>
        </row>
        <row r="316">
          <cell r="AK316">
            <v>1846460</v>
          </cell>
        </row>
        <row r="320">
          <cell r="AL320">
            <v>65000</v>
          </cell>
        </row>
        <row r="323">
          <cell r="AK323">
            <v>3460</v>
          </cell>
        </row>
        <row r="329">
          <cell r="AK329">
            <v>10000</v>
          </cell>
        </row>
        <row r="331">
          <cell r="AK331">
            <v>1138000</v>
          </cell>
        </row>
        <row r="338">
          <cell r="AK338">
            <v>1101000</v>
          </cell>
        </row>
        <row r="352">
          <cell r="AK352">
            <v>60000</v>
          </cell>
        </row>
        <row r="361">
          <cell r="AK361">
            <v>1234050</v>
          </cell>
        </row>
        <row r="365">
          <cell r="AL365">
            <v>600000</v>
          </cell>
        </row>
        <row r="370">
          <cell r="AK370">
            <v>48200</v>
          </cell>
        </row>
        <row r="374">
          <cell r="AK374">
            <v>65000</v>
          </cell>
        </row>
        <row r="376">
          <cell r="AK376">
            <v>239000</v>
          </cell>
        </row>
        <row r="380">
          <cell r="AK380">
            <v>197000</v>
          </cell>
        </row>
        <row r="392">
          <cell r="AK392">
            <v>125000</v>
          </cell>
        </row>
        <row r="401">
          <cell r="AK401">
            <v>106850</v>
          </cell>
        </row>
        <row r="404">
          <cell r="AK404">
            <v>78000</v>
          </cell>
        </row>
        <row r="411">
          <cell r="AK411">
            <v>8500</v>
          </cell>
        </row>
        <row r="413">
          <cell r="AK413">
            <v>13050</v>
          </cell>
        </row>
        <row r="418">
          <cell r="AK418">
            <v>6850</v>
          </cell>
        </row>
        <row r="427">
          <cell r="AK427">
            <v>87800</v>
          </cell>
        </row>
        <row r="431">
          <cell r="AK431">
            <v>53000</v>
          </cell>
        </row>
        <row r="434">
          <cell r="AK434">
            <v>8600</v>
          </cell>
        </row>
        <row r="438">
          <cell r="AK438">
            <v>12000</v>
          </cell>
        </row>
        <row r="440">
          <cell r="AK440">
            <v>14200</v>
          </cell>
        </row>
        <row r="445">
          <cell r="AK445">
            <v>6500</v>
          </cell>
        </row>
        <row r="453">
          <cell r="AL453">
            <v>10655300</v>
          </cell>
        </row>
        <row r="455">
          <cell r="AK455">
            <v>8807500</v>
          </cell>
        </row>
        <row r="461">
          <cell r="AK461">
            <v>988500</v>
          </cell>
        </row>
        <row r="467">
          <cell r="AK467">
            <v>605000</v>
          </cell>
        </row>
        <row r="469">
          <cell r="AK469">
            <v>1804000</v>
          </cell>
        </row>
        <row r="479">
          <cell r="AK479">
            <v>125000</v>
          </cell>
        </row>
        <row r="489">
          <cell r="AK489">
            <v>250000</v>
          </cell>
        </row>
        <row r="495">
          <cell r="AK495">
            <v>1847800</v>
          </cell>
        </row>
        <row r="496">
          <cell r="AK496">
            <v>752800</v>
          </cell>
        </row>
        <row r="512">
          <cell r="AK512">
            <v>222000</v>
          </cell>
        </row>
        <row r="531">
          <cell r="AK531">
            <v>650000</v>
          </cell>
        </row>
        <row r="539">
          <cell r="AK539">
            <v>5890700</v>
          </cell>
        </row>
        <row r="543">
          <cell r="AK543">
            <v>1021000</v>
          </cell>
        </row>
        <row r="547">
          <cell r="AK547">
            <v>114200</v>
          </cell>
        </row>
        <row r="551">
          <cell r="AK551">
            <v>112000</v>
          </cell>
        </row>
        <row r="553">
          <cell r="AK553">
            <v>2243500</v>
          </cell>
        </row>
        <row r="562">
          <cell r="AK562">
            <v>2146500</v>
          </cell>
        </row>
        <row r="586">
          <cell r="AK586">
            <v>14546190</v>
          </cell>
        </row>
        <row r="590">
          <cell r="AK590">
            <v>1218000</v>
          </cell>
        </row>
        <row r="594">
          <cell r="AL594">
            <v>149500</v>
          </cell>
        </row>
        <row r="598">
          <cell r="AK598">
            <v>130000</v>
          </cell>
        </row>
        <row r="600">
          <cell r="AK600">
            <v>84900</v>
          </cell>
        </row>
        <row r="606">
          <cell r="AK606">
            <v>15900</v>
          </cell>
        </row>
        <row r="613">
          <cell r="AK613">
            <v>3271970</v>
          </cell>
        </row>
        <row r="624">
          <cell r="AG624">
            <v>35000</v>
          </cell>
        </row>
        <row r="633">
          <cell r="AG633">
            <v>2806970</v>
          </cell>
        </row>
        <row r="646">
          <cell r="AG646">
            <v>9000</v>
          </cell>
        </row>
        <row r="650">
          <cell r="AG650">
            <v>36000</v>
          </cell>
        </row>
        <row r="654">
          <cell r="AK654">
            <v>5815690</v>
          </cell>
        </row>
        <row r="723">
          <cell r="AK723">
            <v>3429130</v>
          </cell>
        </row>
        <row r="771">
          <cell r="AK771">
            <v>447000</v>
          </cell>
        </row>
        <row r="788">
          <cell r="AK788">
            <v>9100216</v>
          </cell>
        </row>
        <row r="792">
          <cell r="AK792">
            <v>1674000</v>
          </cell>
        </row>
        <row r="797">
          <cell r="AK797">
            <v>192000</v>
          </cell>
        </row>
        <row r="801">
          <cell r="AL801">
            <v>176000</v>
          </cell>
        </row>
        <row r="803">
          <cell r="AL803">
            <v>349500</v>
          </cell>
        </row>
        <row r="809">
          <cell r="AK809">
            <v>239500</v>
          </cell>
        </row>
        <row r="822">
          <cell r="AK822">
            <v>200000</v>
          </cell>
        </row>
        <row r="848">
          <cell r="AH848">
            <v>250000</v>
          </cell>
        </row>
        <row r="853">
          <cell r="AH853">
            <v>820000</v>
          </cell>
        </row>
        <row r="855">
          <cell r="AH855">
            <v>200000</v>
          </cell>
        </row>
        <row r="860">
          <cell r="AH860">
            <v>55000</v>
          </cell>
        </row>
        <row r="869">
          <cell r="AH869">
            <v>570000</v>
          </cell>
        </row>
        <row r="906">
          <cell r="AK906">
            <v>60000</v>
          </cell>
        </row>
        <row r="908">
          <cell r="AK908">
            <v>15742111</v>
          </cell>
        </row>
        <row r="910">
          <cell r="AK910">
            <v>2737000</v>
          </cell>
        </row>
        <row r="933">
          <cell r="AK933">
            <v>1190311</v>
          </cell>
        </row>
        <row r="973">
          <cell r="AK973">
            <v>10484800</v>
          </cell>
        </row>
        <row r="975">
          <cell r="AG975">
            <v>2250000</v>
          </cell>
        </row>
        <row r="976">
          <cell r="AG976">
            <v>400000</v>
          </cell>
        </row>
        <row r="977">
          <cell r="AG977">
            <v>900000</v>
          </cell>
        </row>
        <row r="978">
          <cell r="AG978">
            <v>50000</v>
          </cell>
        </row>
        <row r="979">
          <cell r="AG979">
            <v>900000</v>
          </cell>
        </row>
        <row r="980">
          <cell r="AG980">
            <v>110000</v>
          </cell>
        </row>
        <row r="987">
          <cell r="AG987">
            <v>450000</v>
          </cell>
        </row>
        <row r="1012">
          <cell r="AG1012">
            <v>20000</v>
          </cell>
        </row>
        <row r="1013">
          <cell r="AG1013">
            <v>50000</v>
          </cell>
        </row>
        <row r="1016">
          <cell r="AG1016">
            <v>20000</v>
          </cell>
        </row>
        <row r="1018">
          <cell r="AG1018">
            <v>5000</v>
          </cell>
        </row>
        <row r="1019">
          <cell r="AG1019">
            <v>20000</v>
          </cell>
        </row>
        <row r="1020">
          <cell r="AG1020">
            <v>100000</v>
          </cell>
        </row>
        <row r="1023">
          <cell r="AG1023">
            <v>20000</v>
          </cell>
        </row>
        <row r="1028">
          <cell r="AG1028">
            <v>40000</v>
          </cell>
        </row>
        <row r="1037">
          <cell r="AK1037">
            <v>290000</v>
          </cell>
        </row>
        <row r="1040">
          <cell r="AK1040">
            <v>1040000</v>
          </cell>
        </row>
        <row r="1047">
          <cell r="AK1047">
            <v>684900</v>
          </cell>
        </row>
        <row r="1083">
          <cell r="AK1083">
            <v>468240</v>
          </cell>
        </row>
        <row r="1114">
          <cell r="AK1114">
            <v>826970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9"/>
  <sheetViews>
    <sheetView view="pageBreakPreview" zoomScaleNormal="100" zoomScaleSheetLayoutView="100" workbookViewId="0">
      <selection activeCell="F20" sqref="F20"/>
    </sheetView>
  </sheetViews>
  <sheetFormatPr defaultColWidth="9.140625" defaultRowHeight="15.75"/>
  <cols>
    <col min="1" max="1" width="5" style="321" customWidth="1"/>
    <col min="2" max="2" width="7.5703125" style="321" customWidth="1"/>
    <col min="3" max="3" width="8.5703125" style="321" customWidth="1"/>
    <col min="4" max="4" width="63.42578125" style="322" customWidth="1"/>
    <col min="5" max="8" width="16.7109375" style="276" customWidth="1"/>
    <col min="9" max="9" width="14.5703125" style="276" customWidth="1"/>
    <col min="10" max="10" width="17" style="276" customWidth="1"/>
    <col min="11" max="14" width="10.140625" style="276" bestFit="1" customWidth="1"/>
    <col min="15" max="16384" width="9.140625" style="276"/>
  </cols>
  <sheetData>
    <row r="1" spans="1:15" ht="64.5" customHeight="1">
      <c r="A1" s="3298" t="s">
        <v>1273</v>
      </c>
      <c r="B1" s="3298"/>
      <c r="C1" s="3298"/>
      <c r="D1" s="3298"/>
    </row>
    <row r="3" spans="1:15" ht="15.75" customHeight="1">
      <c r="A3" s="3299" t="s">
        <v>1675</v>
      </c>
      <c r="B3" s="3299"/>
      <c r="C3" s="3299"/>
      <c r="D3" s="3299"/>
      <c r="E3" s="3299"/>
      <c r="F3" s="3299"/>
    </row>
    <row r="5" spans="1:15" ht="15.75" customHeight="1">
      <c r="A5" s="3300" t="s">
        <v>855</v>
      </c>
      <c r="B5" s="3300"/>
      <c r="C5" s="3300"/>
      <c r="D5" s="3300"/>
      <c r="E5" s="3300"/>
      <c r="F5" s="3300"/>
    </row>
    <row r="6" spans="1:15" ht="16.5" thickBot="1">
      <c r="A6" s="352"/>
      <c r="B6" s="352"/>
      <c r="C6" s="352"/>
      <c r="D6" s="352"/>
    </row>
    <row r="7" spans="1:15" s="350" customFormat="1" ht="63.75" thickTop="1">
      <c r="A7" s="3295" t="s">
        <v>0</v>
      </c>
      <c r="B7" s="3296"/>
      <c r="C7" s="3297"/>
      <c r="D7" s="1024" t="s">
        <v>1</v>
      </c>
      <c r="E7" s="2478" t="s">
        <v>1274</v>
      </c>
      <c r="F7" s="1030" t="s">
        <v>1652</v>
      </c>
      <c r="G7" s="2234"/>
      <c r="H7" s="2234"/>
      <c r="I7" s="349"/>
      <c r="J7" s="349"/>
    </row>
    <row r="8" spans="1:15" ht="19.5">
      <c r="A8" s="353" t="s">
        <v>4</v>
      </c>
      <c r="B8" s="354"/>
      <c r="C8" s="354"/>
      <c r="D8" s="1025" t="s">
        <v>5</v>
      </c>
      <c r="E8" s="2479">
        <f>SUM(E9,E16)</f>
        <v>96825716</v>
      </c>
      <c r="F8" s="2480">
        <f>SUM(F9,F16)</f>
        <v>61050388</v>
      </c>
      <c r="G8" s="2235">
        <f>'prihodi posebni dio'!Z155</f>
        <v>61050388</v>
      </c>
      <c r="H8" s="2235"/>
      <c r="I8" s="274">
        <f>G8-E8</f>
        <v>-35775328</v>
      </c>
      <c r="J8" s="274">
        <f>E8-E11</f>
        <v>95989129</v>
      </c>
      <c r="K8" s="294"/>
      <c r="L8" s="294"/>
      <c r="M8" s="294"/>
    </row>
    <row r="9" spans="1:15" ht="19.5">
      <c r="A9" s="353"/>
      <c r="B9" s="354" t="s">
        <v>6</v>
      </c>
      <c r="C9" s="354"/>
      <c r="D9" s="1025" t="s">
        <v>815</v>
      </c>
      <c r="E9" s="2479">
        <f>SUM(E10:E15)</f>
        <v>96601125</v>
      </c>
      <c r="F9" s="2480">
        <f>SUM(F10:F15)</f>
        <v>61050388</v>
      </c>
      <c r="G9" s="2235">
        <f>'[1]PRIH REBALANS'!$AK$229</f>
        <v>61050388</v>
      </c>
      <c r="H9" s="2235"/>
      <c r="I9" s="274">
        <f>SUM(F10:F15)</f>
        <v>61050388</v>
      </c>
      <c r="J9" s="275"/>
      <c r="M9" s="294"/>
    </row>
    <row r="10" spans="1:15" ht="19.5">
      <c r="A10" s="353"/>
      <c r="B10" s="354"/>
      <c r="C10" s="354" t="s">
        <v>8</v>
      </c>
      <c r="D10" s="1026" t="s">
        <v>9</v>
      </c>
      <c r="E10" s="2481">
        <v>33426100</v>
      </c>
      <c r="F10" s="2482">
        <v>33435000</v>
      </c>
      <c r="G10" s="2236">
        <f>'prihodi posebni dio'!Z6</f>
        <v>33435000</v>
      </c>
      <c r="H10" s="2236"/>
      <c r="I10" s="274">
        <f>'[2]PRIH REBALANS'!$AK$55-'[2]PRIH REBALANS'!$AI$55</f>
        <v>33330100</v>
      </c>
      <c r="J10" s="274"/>
      <c r="K10" s="294"/>
      <c r="L10" s="294"/>
      <c r="M10" s="294"/>
    </row>
    <row r="11" spans="1:15" ht="19.5">
      <c r="A11" s="353"/>
      <c r="B11" s="354"/>
      <c r="C11" s="354" t="s">
        <v>825</v>
      </c>
      <c r="D11" s="1026" t="s">
        <v>806</v>
      </c>
      <c r="E11" s="2481">
        <v>836587</v>
      </c>
      <c r="F11" s="2482"/>
      <c r="G11" s="2236"/>
      <c r="H11" s="2236"/>
      <c r="I11" s="274"/>
      <c r="J11" s="274"/>
      <c r="K11" s="294" t="e">
        <f>SUM(#REF!,#REF!,#REF!,#REF!)</f>
        <v>#REF!</v>
      </c>
      <c r="L11" s="294">
        <f>'prihodi posebni dio'!V156</f>
        <v>20789697.459999997</v>
      </c>
      <c r="M11" s="294" t="e">
        <f>K11-L11</f>
        <v>#REF!</v>
      </c>
    </row>
    <row r="12" spans="1:15" ht="19.5">
      <c r="A12" s="353"/>
      <c r="B12" s="354"/>
      <c r="C12" s="354" t="s">
        <v>10</v>
      </c>
      <c r="D12" s="1026" t="s">
        <v>11</v>
      </c>
      <c r="E12" s="2481">
        <v>35973578</v>
      </c>
      <c r="F12" s="2482">
        <v>25843077</v>
      </c>
      <c r="G12" s="2236">
        <f>'prihodi posebni dio'!Z36</f>
        <v>25843077</v>
      </c>
      <c r="H12" s="2236"/>
      <c r="I12" s="274">
        <f>'[2]PRIH REBALANS'!$AG$85+'[2]PRIH REBALANS'!$AH$85</f>
        <v>35973577.600000001</v>
      </c>
      <c r="J12" s="274"/>
      <c r="K12" s="294"/>
      <c r="L12" s="294"/>
      <c r="M12" s="294"/>
      <c r="N12" s="430"/>
      <c r="O12" s="430"/>
    </row>
    <row r="13" spans="1:15" ht="19.5">
      <c r="A13" s="353"/>
      <c r="B13" s="354"/>
      <c r="C13" s="354" t="s">
        <v>812</v>
      </c>
      <c r="D13" s="1026" t="s">
        <v>814</v>
      </c>
      <c r="E13" s="2483">
        <v>16545923</v>
      </c>
      <c r="F13" s="2484"/>
      <c r="G13" s="2237"/>
      <c r="H13" s="2237"/>
      <c r="I13" s="274">
        <f>'[2]PRIH REBALANS'!$AI$85</f>
        <v>16545922.609999999</v>
      </c>
      <c r="J13" s="274">
        <f>I13-E13</f>
        <v>-0.39000000059604645</v>
      </c>
      <c r="K13" s="294"/>
      <c r="L13" s="294"/>
      <c r="M13" s="294"/>
      <c r="N13" s="431"/>
      <c r="O13" s="431"/>
    </row>
    <row r="14" spans="1:15" ht="19.5">
      <c r="A14" s="353"/>
      <c r="B14" s="354"/>
      <c r="C14" s="354" t="s">
        <v>12</v>
      </c>
      <c r="D14" s="1026" t="s">
        <v>13</v>
      </c>
      <c r="E14" s="2483">
        <v>6636340</v>
      </c>
      <c r="F14" s="2484">
        <v>1772311</v>
      </c>
      <c r="G14" s="2237">
        <f>'prihodi posebni dio'!Z130+'prihodi posebni dio'!Z144</f>
        <v>1772311</v>
      </c>
      <c r="H14" s="2237"/>
      <c r="I14" s="274">
        <f>'[2]PRIH REBALANS'!$AJ$236+'[2]PRIH REBALANS'!$AJ$222</f>
        <v>6636340</v>
      </c>
      <c r="J14" s="274"/>
      <c r="K14" s="324"/>
      <c r="L14" s="294"/>
      <c r="M14" s="294"/>
      <c r="N14" s="294"/>
    </row>
    <row r="15" spans="1:15" ht="19.5">
      <c r="A15" s="353"/>
      <c r="B15" s="354"/>
      <c r="C15" s="354" t="s">
        <v>813</v>
      </c>
      <c r="D15" s="1026" t="s">
        <v>807</v>
      </c>
      <c r="E15" s="2483">
        <v>3182597</v>
      </c>
      <c r="F15" s="2484"/>
      <c r="G15" s="2237"/>
      <c r="H15" s="2237"/>
      <c r="I15" s="274">
        <f>'[2]PRIH REBALANS'!$AI$222+'[2]PRIH REBALANS'!$AI$236</f>
        <v>3182597.27</v>
      </c>
      <c r="J15" s="274">
        <f>E16+I15+E11</f>
        <v>4243775.2699999996</v>
      </c>
      <c r="K15" s="294" t="e">
        <f>E15-#REF!</f>
        <v>#REF!</v>
      </c>
      <c r="M15" s="294"/>
    </row>
    <row r="16" spans="1:15" ht="19.5">
      <c r="A16" s="353"/>
      <c r="B16" s="354" t="s">
        <v>14</v>
      </c>
      <c r="C16" s="354"/>
      <c r="D16" s="1025" t="s">
        <v>15</v>
      </c>
      <c r="E16" s="2479">
        <v>224591</v>
      </c>
      <c r="F16" s="2480"/>
      <c r="G16" s="2235"/>
      <c r="H16" s="2235"/>
      <c r="I16" s="275"/>
      <c r="J16" s="275"/>
      <c r="K16" s="294"/>
    </row>
    <row r="17" spans="1:14" ht="31.5">
      <c r="A17" s="958"/>
      <c r="B17" s="976" t="s">
        <v>1547</v>
      </c>
      <c r="C17" s="959"/>
      <c r="D17" s="1025" t="s">
        <v>1548</v>
      </c>
      <c r="E17" s="2479">
        <f>E11+E13++E15</f>
        <v>20565107</v>
      </c>
      <c r="F17" s="2480">
        <f>F11+F13++F15</f>
        <v>0</v>
      </c>
      <c r="G17" s="2235"/>
      <c r="H17" s="2235"/>
      <c r="I17" s="274" t="e">
        <f>SUM(#REF!,#REF!,#REF!,#REF!)</f>
        <v>#REF!</v>
      </c>
      <c r="J17" s="275"/>
      <c r="K17" s="294"/>
    </row>
    <row r="18" spans="1:14" ht="14.25" customHeight="1">
      <c r="A18" s="353" t="s">
        <v>16</v>
      </c>
      <c r="B18" s="354"/>
      <c r="C18" s="354"/>
      <c r="D18" s="1025" t="s">
        <v>823</v>
      </c>
      <c r="E18" s="2479">
        <f>E19+E29+E30</f>
        <v>94925716</v>
      </c>
      <c r="F18" s="2480">
        <f>F19+F29+F30</f>
        <v>58900388</v>
      </c>
      <c r="G18" s="2235">
        <f>'Rashodi i izdaci-opći dio'!O45</f>
        <v>61050388</v>
      </c>
      <c r="H18" s="2235"/>
      <c r="I18" s="275"/>
      <c r="J18" s="275"/>
      <c r="K18" s="294"/>
      <c r="L18" s="294"/>
    </row>
    <row r="19" spans="1:14" ht="19.5" customHeight="1">
      <c r="A19" s="353"/>
      <c r="B19" s="354" t="s">
        <v>18</v>
      </c>
      <c r="C19" s="354"/>
      <c r="D19" s="1025" t="s">
        <v>19</v>
      </c>
      <c r="E19" s="2479">
        <f>SUM(E20:E28)</f>
        <v>59720907</v>
      </c>
      <c r="F19" s="2480">
        <f>SUM(F20:F28)</f>
        <v>49560861</v>
      </c>
      <c r="G19" s="2235"/>
      <c r="H19" s="2235"/>
      <c r="I19" s="274"/>
      <c r="J19" s="275"/>
      <c r="K19" s="294"/>
      <c r="L19" s="294"/>
    </row>
    <row r="20" spans="1:14" ht="19.5" customHeight="1">
      <c r="A20" s="373"/>
      <c r="B20" s="374"/>
      <c r="C20" s="354" t="s">
        <v>20</v>
      </c>
      <c r="D20" s="1027" t="s">
        <v>1222</v>
      </c>
      <c r="E20" s="2485">
        <f>SUM('Rashodi i izdaci-opći dio'!K7+'Rashodi i izdaci-opći dio'!K10)</f>
        <v>16069487</v>
      </c>
      <c r="F20" s="2486">
        <v>16119920</v>
      </c>
      <c r="G20" s="2238">
        <f>'Rashodi i izdaci-opći dio'!O7+'Rashodi i izdaci-opći dio'!O10</f>
        <v>16119920</v>
      </c>
      <c r="H20" s="2238"/>
      <c r="I20" s="274">
        <f>'Rashodi i izdaci-opći dio'!K7+'Rashodi i izdaci-opći dio'!K10</f>
        <v>16069487</v>
      </c>
      <c r="J20" s="275"/>
      <c r="K20" s="294"/>
      <c r="L20" s="294"/>
    </row>
    <row r="21" spans="1:14" ht="19.5">
      <c r="A21" s="353"/>
      <c r="B21" s="354"/>
      <c r="C21" s="354" t="s">
        <v>22</v>
      </c>
      <c r="D21" s="1026" t="s">
        <v>23</v>
      </c>
      <c r="E21" s="2481">
        <v>22343220</v>
      </c>
      <c r="F21" s="2482">
        <v>18006661</v>
      </c>
      <c r="G21" s="2236">
        <f>'Rashodi i izdaci-opći dio'!O12</f>
        <v>18006661</v>
      </c>
      <c r="H21" s="2236"/>
      <c r="I21" s="274">
        <f>'Rashodi i izdaci-opći dio'!K12-'Rashodi i izdaci-opći dio'!K16-'Rashodi i izdaci-opći dio'!K18-'Rashodi i izdaci-opći dio'!K20-'Rashodi i izdaci-opći dio'!K23-'Rashodi i izdaci-opći dio'!K26</f>
        <v>22343220</v>
      </c>
      <c r="J21" s="274"/>
      <c r="K21" s="294"/>
      <c r="L21" s="294"/>
      <c r="M21" s="294"/>
    </row>
    <row r="22" spans="1:14" ht="31.5">
      <c r="A22" s="353"/>
      <c r="B22" s="354"/>
      <c r="C22" s="354" t="s">
        <v>816</v>
      </c>
      <c r="D22" s="1026" t="s">
        <v>826</v>
      </c>
      <c r="E22" s="2481">
        <f>SUM('Rashodi i izdaci-opći dio'!I16+'Rashodi i izdaci-opći dio'!I18+'Rashodi i izdaci-opći dio'!I20+'Rashodi i izdaci-opći dio'!I23+'Rashodi i izdaci-opći dio'!I26)</f>
        <v>2150244</v>
      </c>
      <c r="F22" s="2482"/>
      <c r="G22" s="2236"/>
      <c r="H22" s="2236"/>
      <c r="I22" s="274">
        <f>'Rashodi i izdaci-opći dio'!K16+'Rashodi i izdaci-opći dio'!K18+'Rashodi i izdaci-opći dio'!K20+'Rashodi i izdaci-opći dio'!K23+'Rashodi i izdaci-opći dio'!K26</f>
        <v>2150244</v>
      </c>
      <c r="J22" s="274"/>
      <c r="K22" s="294"/>
      <c r="L22" s="294"/>
      <c r="M22" s="294"/>
    </row>
    <row r="23" spans="1:14" ht="19.5">
      <c r="A23" s="353"/>
      <c r="B23" s="354"/>
      <c r="C23" s="354" t="s">
        <v>24</v>
      </c>
      <c r="D23" s="1026" t="s">
        <v>25</v>
      </c>
      <c r="E23" s="2481">
        <f>SUM('Rashodi i izdaci-opći dio'!K28+'Rashodi i izdaci-opći dio'!K30+'Rashodi i izdaci-opći dio'!K31+'Rashodi i izdaci-opći dio'!K33+'Rashodi i izdaci-opći dio'!K35)</f>
        <v>16269333</v>
      </c>
      <c r="F23" s="2482">
        <v>14429280</v>
      </c>
      <c r="G23" s="2236">
        <f>'Rashodi i izdaci-opći dio'!O27</f>
        <v>14429280</v>
      </c>
      <c r="H23" s="2236"/>
      <c r="I23" s="274">
        <f>'[3]PRIH REBALANS'!$AK$292-'[3]PRIH REBALANS'!$AK$294-'[3]PRIH REBALANS'!$AK$298-'[3]PRIH REBALANS'!$AK$301</f>
        <v>16269333</v>
      </c>
      <c r="J23" s="274"/>
      <c r="K23" s="294"/>
      <c r="L23" s="294"/>
      <c r="M23" s="294"/>
    </row>
    <row r="24" spans="1:14" ht="19.5">
      <c r="A24" s="353"/>
      <c r="B24" s="354"/>
      <c r="C24" s="354" t="s">
        <v>817</v>
      </c>
      <c r="D24" s="1026" t="s">
        <v>820</v>
      </c>
      <c r="E24" s="2481">
        <f>SUM('Rashodi i izdaci-opći dio'!K29+'Rashodi i izdaci-opći dio'!K32+'Rashodi i izdaci-opći dio'!K34)</f>
        <v>636578</v>
      </c>
      <c r="F24" s="2482"/>
      <c r="G24" s="2236"/>
      <c r="H24" s="2236"/>
      <c r="I24" s="274">
        <f>'Rashodi i izdaci-opći dio'!K29+'Rashodi i izdaci-opći dio'!K32+'Rashodi i izdaci-opći dio'!K34</f>
        <v>636578</v>
      </c>
      <c r="J24" s="274"/>
      <c r="K24" s="294"/>
      <c r="L24" s="294"/>
      <c r="M24" s="294"/>
      <c r="N24" s="294"/>
    </row>
    <row r="25" spans="1:14" ht="19.5">
      <c r="A25" s="353"/>
      <c r="B25" s="354"/>
      <c r="C25" s="354" t="s">
        <v>26</v>
      </c>
      <c r="D25" s="1026" t="s">
        <v>27</v>
      </c>
      <c r="E25" s="2481">
        <v>1692400</v>
      </c>
      <c r="F25" s="2482">
        <v>645000</v>
      </c>
      <c r="G25" s="2236">
        <f>'Rashodi i izdaci-opći dio'!O36</f>
        <v>645000</v>
      </c>
      <c r="H25" s="2236"/>
      <c r="I25" s="274">
        <f>'Rashodi i izdaci-opći dio'!K36</f>
        <v>1692400</v>
      </c>
      <c r="J25" s="274">
        <v>782551</v>
      </c>
      <c r="K25" s="294"/>
      <c r="L25" s="294"/>
      <c r="M25" s="294"/>
    </row>
    <row r="26" spans="1:14" ht="19.5">
      <c r="A26" s="353"/>
      <c r="B26" s="354"/>
      <c r="C26" s="354" t="s">
        <v>818</v>
      </c>
      <c r="D26" s="1026" t="s">
        <v>821</v>
      </c>
      <c r="E26" s="2481">
        <f>SUM('Rashodi i izdaci-opći dio'!K37)</f>
        <v>200645</v>
      </c>
      <c r="F26" s="2482"/>
      <c r="G26" s="2236"/>
      <c r="H26" s="2236"/>
      <c r="I26" s="274"/>
      <c r="J26" s="274" t="e">
        <f>J25-#REF!</f>
        <v>#REF!</v>
      </c>
      <c r="K26" s="294"/>
    </row>
    <row r="27" spans="1:14" ht="19.5">
      <c r="A27" s="353"/>
      <c r="B27" s="354"/>
      <c r="C27" s="354" t="s">
        <v>28</v>
      </c>
      <c r="D27" s="1026" t="s">
        <v>29</v>
      </c>
      <c r="E27" s="2481">
        <f>SUM('Rashodi i izdaci-opći dio'!K38)</f>
        <v>309000</v>
      </c>
      <c r="F27" s="2482">
        <v>310000</v>
      </c>
      <c r="G27" s="2236">
        <f>'Rashodi i izdaci-opći dio'!O38</f>
        <v>310000</v>
      </c>
      <c r="H27" s="2236"/>
      <c r="I27" s="274"/>
      <c r="J27" s="275"/>
      <c r="K27" s="294"/>
    </row>
    <row r="28" spans="1:14" ht="19.5">
      <c r="A28" s="353"/>
      <c r="B28" s="354"/>
      <c r="C28" s="354" t="s">
        <v>30</v>
      </c>
      <c r="D28" s="1026" t="s">
        <v>31</v>
      </c>
      <c r="E28" s="2481">
        <v>50000</v>
      </c>
      <c r="F28" s="2482">
        <v>50000</v>
      </c>
      <c r="G28" s="2236"/>
      <c r="H28" s="2236"/>
      <c r="I28" s="275"/>
      <c r="J28" s="274" t="e">
        <f>J25-#REF!</f>
        <v>#REF!</v>
      </c>
    </row>
    <row r="29" spans="1:14" ht="19.5">
      <c r="A29" s="353"/>
      <c r="B29" s="355" t="s">
        <v>32</v>
      </c>
      <c r="C29" s="354"/>
      <c r="D29" s="1025" t="s">
        <v>33</v>
      </c>
      <c r="E29" s="2479">
        <v>17402578</v>
      </c>
      <c r="F29" s="2480">
        <v>9339527</v>
      </c>
      <c r="G29" s="2235">
        <f>'Rashodi i izdaci-opći dio'!O43</f>
        <v>9339527</v>
      </c>
      <c r="H29" s="2235"/>
      <c r="I29" s="274">
        <f>'[3]PRIH REBALANS'!$AG$310+'[3]PRIH REBALANS'!$AH$310+'[3]PRIH REBALANS'!$AJ$310</f>
        <v>17402578</v>
      </c>
      <c r="J29" s="275"/>
      <c r="K29" s="294"/>
      <c r="L29" s="294"/>
    </row>
    <row r="30" spans="1:14" ht="31.5">
      <c r="A30" s="353"/>
      <c r="B30" s="355" t="s">
        <v>819</v>
      </c>
      <c r="C30" s="354"/>
      <c r="D30" s="1025" t="s">
        <v>822</v>
      </c>
      <c r="E30" s="2479">
        <f>SUM('Rashodi i izdaci-opći dio'!K44)</f>
        <v>17802231</v>
      </c>
      <c r="F30" s="2480"/>
      <c r="G30" s="2235"/>
      <c r="H30" s="2235"/>
      <c r="I30" s="274">
        <f>'[3]PRIH REBALANS'!$AI$311</f>
        <v>14429074.15</v>
      </c>
      <c r="J30" s="275"/>
      <c r="K30" s="294"/>
    </row>
    <row r="31" spans="1:14" ht="30.75" customHeight="1">
      <c r="A31" s="356" t="s">
        <v>34</v>
      </c>
      <c r="B31" s="354"/>
      <c r="C31" s="354"/>
      <c r="D31" s="1025" t="s">
        <v>35</v>
      </c>
      <c r="E31" s="2479">
        <f>AVERAGE(E9-E19)</f>
        <v>36880218</v>
      </c>
      <c r="F31" s="2480">
        <f>AVERAGE(F9-F19)</f>
        <v>11489527</v>
      </c>
      <c r="G31" s="2235">
        <f>'Rashodi i izdaci-opći dio'!O42</f>
        <v>2150000</v>
      </c>
      <c r="H31" s="2235"/>
      <c r="I31" s="275"/>
      <c r="J31" s="274"/>
      <c r="K31" s="294"/>
    </row>
    <row r="32" spans="1:14" ht="31.5">
      <c r="A32" s="353" t="s">
        <v>36</v>
      </c>
      <c r="B32" s="354"/>
      <c r="C32" s="354"/>
      <c r="D32" s="1028" t="s">
        <v>824</v>
      </c>
      <c r="E32" s="2479">
        <f>AVERAGE(E16-E29-E30)</f>
        <v>-34980218</v>
      </c>
      <c r="F32" s="2480">
        <f>AVERAGE(F16-F29-F30)</f>
        <v>-9339527</v>
      </c>
      <c r="G32" s="2235"/>
      <c r="H32" s="2235"/>
      <c r="I32" s="274"/>
      <c r="J32" s="275"/>
    </row>
    <row r="33" spans="1:11" ht="19.5">
      <c r="A33" s="353" t="s">
        <v>38</v>
      </c>
      <c r="B33" s="354"/>
      <c r="C33" s="354"/>
      <c r="D33" s="1025" t="s">
        <v>39</v>
      </c>
      <c r="E33" s="2479"/>
      <c r="F33" s="2480"/>
      <c r="G33" s="2235"/>
      <c r="H33" s="2235"/>
      <c r="I33" s="275"/>
      <c r="J33" s="275"/>
    </row>
    <row r="34" spans="1:11" ht="19.5">
      <c r="A34" s="353" t="s">
        <v>40</v>
      </c>
      <c r="B34" s="354"/>
      <c r="C34" s="354"/>
      <c r="D34" s="1025" t="s">
        <v>41</v>
      </c>
      <c r="E34" s="2481">
        <f>SUM('Rashodi i izdaci-opći dio'!K42)</f>
        <v>1900000</v>
      </c>
      <c r="F34" s="2482">
        <v>2150000</v>
      </c>
      <c r="G34" s="2236">
        <f>'Rashodi i izdaci-opći dio'!O42</f>
        <v>2150000</v>
      </c>
      <c r="H34" s="2236"/>
      <c r="I34" s="274"/>
      <c r="J34" s="275"/>
    </row>
    <row r="35" spans="1:11" ht="19.5">
      <c r="A35" s="353" t="s">
        <v>42</v>
      </c>
      <c r="B35" s="354"/>
      <c r="C35" s="354"/>
      <c r="D35" s="1025" t="s">
        <v>43</v>
      </c>
      <c r="E35" s="2487">
        <f>E33-E34</f>
        <v>-1900000</v>
      </c>
      <c r="F35" s="2242">
        <f>F33-F34</f>
        <v>-2150000</v>
      </c>
      <c r="G35" s="2235"/>
      <c r="H35" s="2235"/>
      <c r="I35" s="275"/>
      <c r="J35" s="275"/>
    </row>
    <row r="36" spans="1:11" ht="19.5">
      <c r="A36" s="353" t="s">
        <v>44</v>
      </c>
      <c r="B36" s="354"/>
      <c r="C36" s="354"/>
      <c r="D36" s="1025" t="s">
        <v>45</v>
      </c>
      <c r="E36" s="2479">
        <f>E31+E32</f>
        <v>1900000</v>
      </c>
      <c r="F36" s="2480">
        <f>F31+F32</f>
        <v>2150000</v>
      </c>
      <c r="G36" s="2235"/>
      <c r="H36" s="2235"/>
      <c r="I36" s="274">
        <f>G36-F36</f>
        <v>-2150000</v>
      </c>
      <c r="J36" s="275"/>
    </row>
    <row r="37" spans="1:11" ht="20.25" thickBot="1">
      <c r="A37" s="357" t="s">
        <v>46</v>
      </c>
      <c r="B37" s="358"/>
      <c r="C37" s="358"/>
      <c r="D37" s="1029" t="s">
        <v>47</v>
      </c>
      <c r="E37" s="2488">
        <f>E36--E35</f>
        <v>0</v>
      </c>
      <c r="F37" s="2489">
        <f>F36--F35</f>
        <v>0</v>
      </c>
      <c r="G37" s="2239"/>
      <c r="H37" s="2239"/>
      <c r="I37" s="274"/>
      <c r="J37" s="275"/>
      <c r="K37" s="294"/>
    </row>
    <row r="38" spans="1:11" ht="16.5" thickTop="1">
      <c r="F38" s="294">
        <f>'[1]PRIH REBALANS'!$AG$234</f>
        <v>0</v>
      </c>
      <c r="G38" s="2240"/>
      <c r="H38" s="2240"/>
      <c r="I38" s="294"/>
      <c r="K38" s="294"/>
    </row>
    <row r="39" spans="1:11">
      <c r="F39" s="294">
        <f>F37-656590</f>
        <v>-656590</v>
      </c>
    </row>
  </sheetData>
  <mergeCells count="4">
    <mergeCell ref="A7:C7"/>
    <mergeCell ref="A1:D1"/>
    <mergeCell ref="A3:F3"/>
    <mergeCell ref="A5:F5"/>
  </mergeCells>
  <pageMargins left="0.70866141732283472" right="0.70866141732283472" top="0.74803149606299213" bottom="0.74803149606299213" header="0.31496062992125984" footer="0.31496062992125984"/>
  <pageSetup scale="89" orientation="landscape" r:id="rId1"/>
  <headerFooter>
    <oddFooter>&amp;L&amp;"Times New Roman,Uobičajeno"&amp;16&amp;K00-043Budžet Grada Mostara za 2022.g. Naslovnica&amp;C&amp;16&amp;P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/>
  <dimension ref="A1"/>
  <sheetViews>
    <sheetView topLeftCell="C1" workbookViewId="0">
      <selection activeCell="T41" sqref="T41"/>
    </sheetView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3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4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5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6"/>
  <dimension ref="A1:V17"/>
  <sheetViews>
    <sheetView view="pageBreakPreview" zoomScale="66" zoomScaleNormal="100" zoomScaleSheetLayoutView="66" workbookViewId="0">
      <selection activeCell="L3" sqref="L3"/>
    </sheetView>
  </sheetViews>
  <sheetFormatPr defaultRowHeight="15"/>
  <cols>
    <col min="3" max="3" width="31.140625" customWidth="1"/>
    <col min="4" max="15" width="10.5703125" customWidth="1"/>
  </cols>
  <sheetData>
    <row r="1" spans="1:22" ht="29.25" customHeight="1" thickBot="1">
      <c r="C1" s="286" t="s">
        <v>1545</v>
      </c>
    </row>
    <row r="2" spans="1:22" ht="49.5" customHeight="1" thickTop="1">
      <c r="A2" s="3389" t="s">
        <v>201</v>
      </c>
      <c r="B2" s="3391" t="s">
        <v>202</v>
      </c>
      <c r="C2" s="3393" t="s">
        <v>1</v>
      </c>
      <c r="D2" s="3384" t="s">
        <v>1276</v>
      </c>
      <c r="E2" s="3385"/>
      <c r="F2" s="3385"/>
      <c r="G2" s="3386"/>
      <c r="H2" s="3384" t="s">
        <v>1223</v>
      </c>
      <c r="I2" s="3385"/>
      <c r="J2" s="3385"/>
      <c r="K2" s="3395"/>
      <c r="L2" s="3384" t="s">
        <v>1721</v>
      </c>
      <c r="M2" s="3385"/>
      <c r="N2" s="3385"/>
      <c r="O2" s="3386"/>
      <c r="P2" s="3387" t="s">
        <v>49</v>
      </c>
    </row>
    <row r="3" spans="1:22" s="289" customFormat="1" ht="145.5" customHeight="1">
      <c r="A3" s="3390"/>
      <c r="B3" s="3392"/>
      <c r="C3" s="3394"/>
      <c r="D3" s="1527" t="s">
        <v>50</v>
      </c>
      <c r="E3" s="1363" t="s">
        <v>1275</v>
      </c>
      <c r="F3" s="1364" t="s">
        <v>52</v>
      </c>
      <c r="G3" s="1886" t="s">
        <v>606</v>
      </c>
      <c r="H3" s="1902" t="s">
        <v>50</v>
      </c>
      <c r="I3" s="1226" t="s">
        <v>162</v>
      </c>
      <c r="J3" s="1552" t="s">
        <v>52</v>
      </c>
      <c r="K3" s="1886" t="s">
        <v>606</v>
      </c>
      <c r="L3" s="1902" t="s">
        <v>50</v>
      </c>
      <c r="M3" s="1226" t="s">
        <v>1275</v>
      </c>
      <c r="N3" s="1552" t="s">
        <v>52</v>
      </c>
      <c r="O3" s="1886" t="s">
        <v>606</v>
      </c>
      <c r="P3" s="3388"/>
    </row>
    <row r="4" spans="1:22" s="289" customFormat="1" ht="24" customHeight="1">
      <c r="A4" s="1227"/>
      <c r="B4" s="1228"/>
      <c r="C4" s="1505"/>
      <c r="D4" s="1528">
        <v>1</v>
      </c>
      <c r="E4" s="1287">
        <v>2</v>
      </c>
      <c r="F4" s="1288">
        <v>3</v>
      </c>
      <c r="G4" s="1887" t="s">
        <v>653</v>
      </c>
      <c r="H4" s="1903">
        <v>5</v>
      </c>
      <c r="I4" s="1287">
        <v>6</v>
      </c>
      <c r="J4" s="1553">
        <v>7</v>
      </c>
      <c r="K4" s="1887" t="s">
        <v>54</v>
      </c>
      <c r="L4" s="1903">
        <v>9</v>
      </c>
      <c r="M4" s="1287">
        <v>10</v>
      </c>
      <c r="N4" s="1553">
        <v>11</v>
      </c>
      <c r="O4" s="1887" t="s">
        <v>1501</v>
      </c>
      <c r="P4" s="1882">
        <v>14</v>
      </c>
    </row>
    <row r="5" spans="1:22" s="289" customFormat="1" ht="15.75">
      <c r="A5" s="1227"/>
      <c r="B5" s="1228"/>
      <c r="C5" s="1506" t="s">
        <v>1536</v>
      </c>
      <c r="D5" s="1528"/>
      <c r="E5" s="1287"/>
      <c r="F5" s="1288"/>
      <c r="G5" s="1887"/>
      <c r="H5" s="1903"/>
      <c r="I5" s="1229"/>
      <c r="J5" s="1553"/>
      <c r="K5" s="1887"/>
      <c r="L5" s="1903"/>
      <c r="M5" s="1229"/>
      <c r="N5" s="1553"/>
      <c r="O5" s="1887"/>
      <c r="P5" s="1882"/>
    </row>
    <row r="6" spans="1:22" ht="15.75">
      <c r="A6" s="1210"/>
      <c r="B6" s="1217" t="s">
        <v>195</v>
      </c>
      <c r="C6" s="1891" t="s">
        <v>1544</v>
      </c>
      <c r="D6" s="1529">
        <f>SUM(D7,D15:D18,D35,D31)</f>
        <v>0</v>
      </c>
      <c r="E6" s="1263">
        <f>SUM(E7:E14)</f>
        <v>622521.43999999994</v>
      </c>
      <c r="F6" s="1264">
        <f>SUM(F7,F15:F18,F35,F32,F34,F33)</f>
        <v>0</v>
      </c>
      <c r="G6" s="1566">
        <f>SUM(G7:G14)</f>
        <v>622521.43999999994</v>
      </c>
      <c r="H6" s="1904"/>
      <c r="I6" s="1213"/>
      <c r="J6" s="1554"/>
      <c r="K6" s="1566"/>
      <c r="L6" s="1904">
        <f>SUM(L7,L15:L18,L35,L31)</f>
        <v>0</v>
      </c>
      <c r="M6" s="1213">
        <f>SUM(M7:M14)</f>
        <v>0</v>
      </c>
      <c r="N6" s="1554">
        <f>SUM(N7,N15:N18,N35,N32,N34,N33)</f>
        <v>0</v>
      </c>
      <c r="O6" s="1566">
        <f>SUM(O7:O14)</f>
        <v>0</v>
      </c>
      <c r="P6" s="1565"/>
    </row>
    <row r="7" spans="1:22" ht="42.75" customHeight="1">
      <c r="A7" s="1214"/>
      <c r="B7" s="1217"/>
      <c r="C7" s="1892" t="s">
        <v>1537</v>
      </c>
      <c r="D7" s="1529"/>
      <c r="E7" s="1555">
        <v>26915.32</v>
      </c>
      <c r="F7" s="1264"/>
      <c r="G7" s="1888">
        <f>SUM(D7:F7)</f>
        <v>26915.32</v>
      </c>
      <c r="H7" s="1904"/>
      <c r="I7" s="1213"/>
      <c r="J7" s="1554"/>
      <c r="K7" s="1566"/>
      <c r="L7" s="1904"/>
      <c r="M7" s="1230"/>
      <c r="N7" s="1554"/>
      <c r="O7" s="1888">
        <f>SUM(L7:N7)</f>
        <v>0</v>
      </c>
      <c r="P7" s="1565"/>
    </row>
    <row r="8" spans="1:22" ht="42.75" customHeight="1">
      <c r="A8" s="1214"/>
      <c r="B8" s="1231"/>
      <c r="C8" s="1892" t="s">
        <v>1538</v>
      </c>
      <c r="D8" s="1536"/>
      <c r="E8" s="1555">
        <v>181432</v>
      </c>
      <c r="F8" s="1273"/>
      <c r="G8" s="1888">
        <f t="shared" ref="G8:G14" si="0">SUM(D8:F8)</f>
        <v>181432</v>
      </c>
      <c r="H8" s="1905"/>
      <c r="I8" s="1232"/>
      <c r="J8" s="1556"/>
      <c r="K8" s="1909"/>
      <c r="L8" s="1905"/>
      <c r="M8" s="1230"/>
      <c r="N8" s="1556"/>
      <c r="O8" s="1888">
        <f t="shared" ref="O8:O14" si="1">SUM(L8:N8)</f>
        <v>0</v>
      </c>
      <c r="P8" s="1883"/>
    </row>
    <row r="9" spans="1:22" ht="42.75" customHeight="1">
      <c r="A9" s="1214"/>
      <c r="B9" s="1231"/>
      <c r="C9" s="1892" t="s">
        <v>1539</v>
      </c>
      <c r="D9" s="1536"/>
      <c r="E9" s="1555">
        <v>95773</v>
      </c>
      <c r="F9" s="1274"/>
      <c r="G9" s="1888">
        <f t="shared" si="0"/>
        <v>95773</v>
      </c>
      <c r="H9" s="1905"/>
      <c r="I9" s="1216"/>
      <c r="J9" s="1557"/>
      <c r="K9" s="1909"/>
      <c r="L9" s="1905"/>
      <c r="M9" s="1230"/>
      <c r="N9" s="1557"/>
      <c r="O9" s="1888">
        <f t="shared" si="1"/>
        <v>0</v>
      </c>
      <c r="P9" s="1883"/>
    </row>
    <row r="10" spans="1:22" ht="42.75" customHeight="1">
      <c r="A10" s="1214"/>
      <c r="B10" s="1231"/>
      <c r="C10" s="1892" t="s">
        <v>1540</v>
      </c>
      <c r="D10" s="1536"/>
      <c r="E10" s="1555">
        <v>38471.120000000003</v>
      </c>
      <c r="F10" s="1274"/>
      <c r="G10" s="1888">
        <f t="shared" si="0"/>
        <v>38471.120000000003</v>
      </c>
      <c r="H10" s="1905"/>
      <c r="I10" s="1216"/>
      <c r="J10" s="1557"/>
      <c r="K10" s="1909"/>
      <c r="L10" s="1905"/>
      <c r="M10" s="1230"/>
      <c r="N10" s="1557"/>
      <c r="O10" s="1888">
        <f t="shared" si="1"/>
        <v>0</v>
      </c>
      <c r="P10" s="1883"/>
    </row>
    <row r="11" spans="1:22" ht="42.75" customHeight="1">
      <c r="A11" s="1214"/>
      <c r="B11" s="1231"/>
      <c r="C11" s="1892" t="s">
        <v>1541</v>
      </c>
      <c r="D11" s="1537"/>
      <c r="E11" s="1555">
        <v>23400</v>
      </c>
      <c r="F11" s="1267"/>
      <c r="G11" s="1888">
        <f t="shared" si="0"/>
        <v>23400</v>
      </c>
      <c r="H11" s="1906"/>
      <c r="I11" s="1216"/>
      <c r="J11" s="1557"/>
      <c r="K11" s="1910"/>
      <c r="L11" s="1906"/>
      <c r="M11" s="1230"/>
      <c r="N11" s="1558"/>
      <c r="O11" s="1888">
        <f t="shared" si="1"/>
        <v>0</v>
      </c>
      <c r="P11" s="1883"/>
    </row>
    <row r="12" spans="1:22" ht="42.75" customHeight="1">
      <c r="A12" s="1214"/>
      <c r="B12" s="1231"/>
      <c r="C12" s="1892" t="s">
        <v>1542</v>
      </c>
      <c r="D12" s="1536"/>
      <c r="E12" s="1555">
        <v>47283</v>
      </c>
      <c r="F12" s="1897"/>
      <c r="G12" s="1888">
        <f t="shared" si="0"/>
        <v>47283</v>
      </c>
      <c r="H12" s="1905"/>
      <c r="I12" s="1216"/>
      <c r="J12" s="1557"/>
      <c r="K12" s="1909"/>
      <c r="L12" s="1905"/>
      <c r="M12" s="1230"/>
      <c r="N12" s="1559"/>
      <c r="O12" s="1888">
        <f t="shared" si="1"/>
        <v>0</v>
      </c>
      <c r="P12" s="1883"/>
      <c r="T12">
        <v>26520</v>
      </c>
      <c r="U12">
        <v>505</v>
      </c>
      <c r="V12">
        <f>T12/U12</f>
        <v>52.514851485148512</v>
      </c>
    </row>
    <row r="13" spans="1:22" ht="42.75" customHeight="1">
      <c r="A13" s="1233"/>
      <c r="B13" s="1234"/>
      <c r="C13" s="1893" t="s">
        <v>1543</v>
      </c>
      <c r="D13" s="1220"/>
      <c r="E13" s="1235">
        <v>5000</v>
      </c>
      <c r="F13" s="1222"/>
      <c r="G13" s="1888">
        <f t="shared" si="0"/>
        <v>5000</v>
      </c>
      <c r="H13" s="1561"/>
      <c r="I13" s="1221"/>
      <c r="J13" s="1560"/>
      <c r="K13" s="1911"/>
      <c r="L13" s="1561"/>
      <c r="M13" s="1235"/>
      <c r="N13" s="1560"/>
      <c r="O13" s="1888">
        <f t="shared" si="1"/>
        <v>0</v>
      </c>
      <c r="P13" s="1236"/>
    </row>
    <row r="14" spans="1:22" ht="69" customHeight="1">
      <c r="A14" s="1233"/>
      <c r="B14" s="1234"/>
      <c r="C14" s="1894" t="s">
        <v>322</v>
      </c>
      <c r="D14" s="1220"/>
      <c r="E14" s="1235">
        <v>204247</v>
      </c>
      <c r="F14" s="1222"/>
      <c r="G14" s="1888">
        <f t="shared" si="0"/>
        <v>204247</v>
      </c>
      <c r="H14" s="1561"/>
      <c r="I14" s="1221"/>
      <c r="J14" s="1560"/>
      <c r="K14" s="1911"/>
      <c r="L14" s="1561"/>
      <c r="M14" s="1235"/>
      <c r="N14" s="1560"/>
      <c r="O14" s="1888">
        <f t="shared" si="1"/>
        <v>0</v>
      </c>
      <c r="P14" s="1236"/>
    </row>
    <row r="15" spans="1:22" s="289" customFormat="1" ht="15.75">
      <c r="A15" s="1237"/>
      <c r="B15" s="1238"/>
      <c r="C15" s="1895" t="s">
        <v>1344</v>
      </c>
      <c r="D15" s="1898"/>
      <c r="E15" s="1562"/>
      <c r="F15" s="1899"/>
      <c r="G15" s="1889">
        <f>SUM(D15:F15)</f>
        <v>0</v>
      </c>
      <c r="H15" s="1914"/>
      <c r="I15" s="1239"/>
      <c r="J15" s="1880"/>
      <c r="K15" s="1912"/>
      <c r="L15" s="1907"/>
      <c r="M15" s="1239"/>
      <c r="N15" s="1880"/>
      <c r="O15" s="1889">
        <f>SUM(L15:N15)</f>
        <v>0</v>
      </c>
      <c r="P15" s="1884"/>
    </row>
    <row r="16" spans="1:22" s="289" customFormat="1" ht="16.5" thickBot="1">
      <c r="A16" s="853"/>
      <c r="B16" s="1240"/>
      <c r="C16" s="1896" t="s">
        <v>1343</v>
      </c>
      <c r="D16" s="1900"/>
      <c r="E16" s="1563">
        <f>SUM(E7:E13)</f>
        <v>418274.44</v>
      </c>
      <c r="F16" s="1901"/>
      <c r="G16" s="1890">
        <f>SUM(D16:F16)</f>
        <v>418274.44</v>
      </c>
      <c r="H16" s="1908"/>
      <c r="I16" s="1241"/>
      <c r="J16" s="1881"/>
      <c r="K16" s="1913"/>
      <c r="L16" s="1908"/>
      <c r="M16" s="1242">
        <f>SUM(M7:M13)</f>
        <v>0</v>
      </c>
      <c r="N16" s="1881"/>
      <c r="O16" s="1890">
        <f>SUM(L16:N16)</f>
        <v>0</v>
      </c>
      <c r="P16" s="1885"/>
    </row>
    <row r="17" ht="15.75" thickTop="1"/>
  </sheetData>
  <mergeCells count="7">
    <mergeCell ref="L2:O2"/>
    <mergeCell ref="P2:P3"/>
    <mergeCell ref="A2:A3"/>
    <mergeCell ref="B2:B3"/>
    <mergeCell ref="C2:C3"/>
    <mergeCell ref="D2:G2"/>
    <mergeCell ref="H2:K2"/>
  </mergeCells>
  <pageMargins left="0.7" right="0.7" top="0.75" bottom="0.75" header="0.3" footer="0.3"/>
  <pageSetup paperSize="9" scale="6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"/>
  <dimension ref="A1:V46"/>
  <sheetViews>
    <sheetView view="pageBreakPreview" topLeftCell="A31" zoomScale="77" zoomScaleSheetLayoutView="77" workbookViewId="0">
      <selection activeCell="I42" sqref="I42:Q42"/>
    </sheetView>
  </sheetViews>
  <sheetFormatPr defaultRowHeight="19.5"/>
  <cols>
    <col min="1" max="1" width="9.140625" bestFit="1" customWidth="1"/>
    <col min="2" max="2" width="6.85546875" customWidth="1"/>
    <col min="3" max="3" width="10.140625" customWidth="1"/>
    <col min="4" max="4" width="39.140625" customWidth="1"/>
    <col min="5" max="7" width="11.5703125" customWidth="1"/>
    <col min="8" max="8" width="10.28515625" customWidth="1"/>
    <col min="9" max="16" width="11.5703125" customWidth="1"/>
    <col min="17" max="17" width="7.42578125" customWidth="1"/>
    <col min="18" max="18" width="14.140625" style="1132" customWidth="1"/>
    <col min="19" max="19" width="12.5703125" customWidth="1"/>
    <col min="20" max="20" width="11.7109375" customWidth="1"/>
  </cols>
  <sheetData>
    <row r="1" spans="1:22" ht="36" customHeight="1" thickBot="1">
      <c r="D1" s="620" t="s">
        <v>1477</v>
      </c>
    </row>
    <row r="2" spans="1:22" ht="111" customHeight="1" thickTop="1">
      <c r="A2" s="3396" t="s">
        <v>200</v>
      </c>
      <c r="B2" s="3398" t="s">
        <v>201</v>
      </c>
      <c r="C2" s="3400" t="s">
        <v>202</v>
      </c>
      <c r="D2" s="3402" t="s">
        <v>1</v>
      </c>
      <c r="E2" s="3406" t="s">
        <v>1276</v>
      </c>
      <c r="F2" s="3407"/>
      <c r="G2" s="3407"/>
      <c r="H2" s="3409"/>
      <c r="I2" s="3406" t="s">
        <v>1659</v>
      </c>
      <c r="J2" s="3407"/>
      <c r="K2" s="3407"/>
      <c r="L2" s="3409"/>
      <c r="M2" s="3406" t="s">
        <v>1652</v>
      </c>
      <c r="N2" s="3407"/>
      <c r="O2" s="3407"/>
      <c r="P2" s="3408"/>
      <c r="Q2" s="3404" t="s">
        <v>49</v>
      </c>
      <c r="R2" s="1133"/>
    </row>
    <row r="3" spans="1:22" ht="52.15" customHeight="1">
      <c r="A3" s="3397"/>
      <c r="B3" s="3399"/>
      <c r="C3" s="3401"/>
      <c r="D3" s="3403"/>
      <c r="E3" s="2295" t="s">
        <v>50</v>
      </c>
      <c r="F3" s="2296" t="s">
        <v>1275</v>
      </c>
      <c r="G3" s="2297" t="s">
        <v>52</v>
      </c>
      <c r="H3" s="2298" t="s">
        <v>606</v>
      </c>
      <c r="I3" s="2295" t="s">
        <v>50</v>
      </c>
      <c r="J3" s="2296" t="s">
        <v>1275</v>
      </c>
      <c r="K3" s="2297" t="s">
        <v>52</v>
      </c>
      <c r="L3" s="2299" t="s">
        <v>606</v>
      </c>
      <c r="M3" s="2300" t="s">
        <v>50</v>
      </c>
      <c r="N3" s="2301" t="s">
        <v>1275</v>
      </c>
      <c r="O3" s="2302" t="s">
        <v>52</v>
      </c>
      <c r="P3" s="2299" t="s">
        <v>606</v>
      </c>
      <c r="Q3" s="3405"/>
      <c r="R3" s="1133"/>
    </row>
    <row r="4" spans="1:22" ht="31.5" customHeight="1">
      <c r="A4" s="2303"/>
      <c r="B4" s="2304"/>
      <c r="C4" s="2305"/>
      <c r="D4" s="2306"/>
      <c r="E4" s="2307">
        <v>1</v>
      </c>
      <c r="F4" s="2308">
        <v>2</v>
      </c>
      <c r="G4" s="2309">
        <v>3</v>
      </c>
      <c r="H4" s="2310" t="s">
        <v>653</v>
      </c>
      <c r="I4" s="2311">
        <v>5</v>
      </c>
      <c r="J4" s="2312">
        <v>6</v>
      </c>
      <c r="K4" s="2313">
        <v>7</v>
      </c>
      <c r="L4" s="2310" t="s">
        <v>54</v>
      </c>
      <c r="M4" s="2311">
        <v>9</v>
      </c>
      <c r="N4" s="2312">
        <v>10</v>
      </c>
      <c r="O4" s="2313">
        <v>11</v>
      </c>
      <c r="P4" s="2310" t="s">
        <v>1501</v>
      </c>
      <c r="Q4" s="2314">
        <v>14</v>
      </c>
      <c r="R4" s="1134"/>
    </row>
    <row r="5" spans="1:22" ht="33" customHeight="1">
      <c r="A5" s="2303"/>
      <c r="B5" s="2304"/>
      <c r="C5" s="2305"/>
      <c r="D5" s="2315" t="s">
        <v>827</v>
      </c>
      <c r="E5" s="2307"/>
      <c r="F5" s="2316"/>
      <c r="G5" s="2317"/>
      <c r="H5" s="2310"/>
      <c r="I5" s="2311"/>
      <c r="J5" s="2312"/>
      <c r="K5" s="2313"/>
      <c r="L5" s="2310"/>
      <c r="M5" s="2311"/>
      <c r="N5" s="2312"/>
      <c r="O5" s="2313"/>
      <c r="P5" s="2310"/>
      <c r="Q5" s="2314"/>
      <c r="R5" s="1134"/>
    </row>
    <row r="6" spans="1:22" ht="30.75" customHeight="1">
      <c r="A6" s="629">
        <v>111</v>
      </c>
      <c r="B6" s="363" t="s">
        <v>327</v>
      </c>
      <c r="C6" s="443">
        <v>614000</v>
      </c>
      <c r="D6" s="633" t="s">
        <v>328</v>
      </c>
      <c r="E6" s="360">
        <f>SUM(E7,E14:E19,E36,E32)</f>
        <v>3308800</v>
      </c>
      <c r="F6" s="427">
        <f>SUM(F7,F14:F19,F36,)</f>
        <v>0</v>
      </c>
      <c r="G6" s="889">
        <f>SUM(G7,G14:G19,G36,G33,G35,G34)</f>
        <v>269005</v>
      </c>
      <c r="H6" s="1257">
        <f>SUM(H7,H14:H19,H32:H36)</f>
        <v>3577805</v>
      </c>
      <c r="I6" s="1262">
        <f>SUM(I7+I15+I16+I19+I32+I36)</f>
        <v>3514330</v>
      </c>
      <c r="J6" s="1263"/>
      <c r="K6" s="1264">
        <f>SUM(K7+K16)</f>
        <v>200000</v>
      </c>
      <c r="L6" s="1257">
        <f>SUM(L7+L15+L16+L19+L32+L36)</f>
        <v>3674330</v>
      </c>
      <c r="M6" s="360">
        <f>SUM(M7,M14:M19,M36,M32)</f>
        <v>3071970</v>
      </c>
      <c r="N6" s="427">
        <f>SUM(N7,N14:N19,N36,)</f>
        <v>0</v>
      </c>
      <c r="O6" s="889">
        <f>SUM(O7,O14:O19,O36,O33,O35,O34)</f>
        <v>200000</v>
      </c>
      <c r="P6" s="1257">
        <f>SUM(P7,P14:P19,P32:P36)</f>
        <v>3271970</v>
      </c>
      <c r="Q6" s="1550">
        <f t="shared" ref="Q6:Q41" si="0">P6/H6*100</f>
        <v>91.451881810216037</v>
      </c>
      <c r="R6" s="1137">
        <f>M6+N6+O6-P6</f>
        <v>0</v>
      </c>
      <c r="S6" s="209">
        <f t="shared" ref="S6:S42" si="1">E6+F6+G6-H6</f>
        <v>0</v>
      </c>
      <c r="T6" s="209">
        <f t="shared" ref="T6:T33" si="2">S6-H6</f>
        <v>-3577805</v>
      </c>
      <c r="V6" s="209">
        <f>SUM('[7]PRIH REBALANS'!$AI$632:$AJ$632)</f>
        <v>269005</v>
      </c>
    </row>
    <row r="7" spans="1:22" ht="30.75" customHeight="1">
      <c r="A7" s="630"/>
      <c r="B7" s="366"/>
      <c r="C7" s="443">
        <v>614121</v>
      </c>
      <c r="D7" s="633" t="s">
        <v>329</v>
      </c>
      <c r="E7" s="360">
        <f>SUM(E8:E13,)</f>
        <v>245000</v>
      </c>
      <c r="F7" s="427">
        <f t="shared" ref="F7:G7" si="3">SUM(F8:F13,)</f>
        <v>0</v>
      </c>
      <c r="G7" s="889">
        <f t="shared" si="3"/>
        <v>40000</v>
      </c>
      <c r="H7" s="1257">
        <f>SUM(H8:H13)</f>
        <v>285000</v>
      </c>
      <c r="I7" s="1262">
        <f>SUM(I8:I14)</f>
        <v>395000</v>
      </c>
      <c r="J7" s="1263"/>
      <c r="K7" s="1264">
        <f>SUM(K8+K11)</f>
        <v>50000</v>
      </c>
      <c r="L7" s="1257">
        <f>SUM(L8:L14)</f>
        <v>405000</v>
      </c>
      <c r="M7" s="360">
        <f>SUM(M8:M13,)</f>
        <v>185000</v>
      </c>
      <c r="N7" s="427">
        <f t="shared" ref="N7:O7" si="4">SUM(N8:N13,)</f>
        <v>0</v>
      </c>
      <c r="O7" s="889">
        <f t="shared" si="4"/>
        <v>50000</v>
      </c>
      <c r="P7" s="1257">
        <f>SUM(P8:P13)</f>
        <v>235000</v>
      </c>
      <c r="Q7" s="1550">
        <f t="shared" si="0"/>
        <v>82.456140350877192</v>
      </c>
      <c r="R7" s="1137">
        <f t="shared" ref="R7:R42" si="5">M7+N7+O7-P7</f>
        <v>0</v>
      </c>
      <c r="S7" s="209">
        <f t="shared" si="1"/>
        <v>0</v>
      </c>
      <c r="T7" s="209">
        <f t="shared" si="2"/>
        <v>-285000</v>
      </c>
    </row>
    <row r="8" spans="1:22" ht="30.75" customHeight="1">
      <c r="A8" s="630"/>
      <c r="B8" s="366"/>
      <c r="C8" s="618"/>
      <c r="D8" s="634" t="s">
        <v>330</v>
      </c>
      <c r="E8" s="361">
        <v>80000</v>
      </c>
      <c r="F8" s="635"/>
      <c r="G8" s="891"/>
      <c r="H8" s="1259">
        <f>SUM(E8:G8)</f>
        <v>80000</v>
      </c>
      <c r="I8" s="1290">
        <v>115000</v>
      </c>
      <c r="J8" s="1272"/>
      <c r="K8" s="1273">
        <v>25000</v>
      </c>
      <c r="L8" s="1451">
        <v>140000</v>
      </c>
      <c r="M8" s="2077">
        <v>80000</v>
      </c>
      <c r="N8" s="1272"/>
      <c r="O8" s="1281">
        <v>25000</v>
      </c>
      <c r="P8" s="1259">
        <f>SUM(M8:O8)</f>
        <v>105000</v>
      </c>
      <c r="Q8" s="1550">
        <f t="shared" si="0"/>
        <v>131.25</v>
      </c>
      <c r="R8" s="1137">
        <f t="shared" si="5"/>
        <v>0</v>
      </c>
      <c r="S8" s="209">
        <f t="shared" si="1"/>
        <v>0</v>
      </c>
      <c r="T8" s="209">
        <f t="shared" si="2"/>
        <v>-80000</v>
      </c>
    </row>
    <row r="9" spans="1:22" ht="30.75" customHeight="1">
      <c r="A9" s="630"/>
      <c r="B9" s="366"/>
      <c r="C9" s="618"/>
      <c r="D9" s="634" t="s">
        <v>331</v>
      </c>
      <c r="E9" s="361">
        <v>80000</v>
      </c>
      <c r="F9" s="429"/>
      <c r="G9" s="894"/>
      <c r="H9" s="1259">
        <f t="shared" ref="H9:H14" si="6">SUM(E9:G9)</f>
        <v>80000</v>
      </c>
      <c r="I9" s="1290">
        <v>100000</v>
      </c>
      <c r="J9" s="1266"/>
      <c r="K9" s="1274"/>
      <c r="L9" s="1451">
        <v>100000</v>
      </c>
      <c r="M9" s="2077">
        <v>50000</v>
      </c>
      <c r="N9" s="1266"/>
      <c r="O9" s="1267"/>
      <c r="P9" s="1259">
        <f t="shared" ref="P9:P13" si="7">SUM(M9:O9)</f>
        <v>50000</v>
      </c>
      <c r="Q9" s="1550">
        <f t="shared" si="0"/>
        <v>62.5</v>
      </c>
      <c r="R9" s="1137">
        <f t="shared" si="5"/>
        <v>0</v>
      </c>
      <c r="S9" s="209">
        <f t="shared" si="1"/>
        <v>0</v>
      </c>
      <c r="T9" s="209">
        <f t="shared" si="2"/>
        <v>-80000</v>
      </c>
    </row>
    <row r="10" spans="1:22" ht="30.75" customHeight="1">
      <c r="A10" s="630"/>
      <c r="B10" s="366"/>
      <c r="C10" s="618"/>
      <c r="D10" s="634" t="s">
        <v>332</v>
      </c>
      <c r="E10" s="361">
        <v>10000</v>
      </c>
      <c r="F10" s="429"/>
      <c r="G10" s="636"/>
      <c r="H10" s="1259">
        <f t="shared" si="6"/>
        <v>10000</v>
      </c>
      <c r="I10" s="1290">
        <v>30000</v>
      </c>
      <c r="J10" s="1266"/>
      <c r="K10" s="1274"/>
      <c r="L10" s="1451">
        <v>30000</v>
      </c>
      <c r="M10" s="2077">
        <v>10000</v>
      </c>
      <c r="N10" s="1266"/>
      <c r="O10" s="1267"/>
      <c r="P10" s="1259">
        <f t="shared" si="7"/>
        <v>10000</v>
      </c>
      <c r="Q10" s="1550">
        <f t="shared" si="0"/>
        <v>100</v>
      </c>
      <c r="R10" s="1137">
        <f t="shared" si="5"/>
        <v>0</v>
      </c>
      <c r="S10" s="209">
        <f t="shared" si="1"/>
        <v>0</v>
      </c>
      <c r="T10" s="209">
        <f t="shared" si="2"/>
        <v>-10000</v>
      </c>
    </row>
    <row r="11" spans="1:22" ht="30.75" customHeight="1">
      <c r="A11" s="630"/>
      <c r="B11" s="366"/>
      <c r="C11" s="618"/>
      <c r="D11" s="634" t="s">
        <v>333</v>
      </c>
      <c r="E11" s="362">
        <v>30000</v>
      </c>
      <c r="F11" s="429"/>
      <c r="G11" s="436">
        <v>20000</v>
      </c>
      <c r="H11" s="1259">
        <f t="shared" si="6"/>
        <v>50000</v>
      </c>
      <c r="I11" s="1291">
        <v>60000</v>
      </c>
      <c r="J11" s="1266"/>
      <c r="K11" s="1274">
        <v>25000</v>
      </c>
      <c r="L11" s="1275">
        <f>SUM(I11+K11)</f>
        <v>85000</v>
      </c>
      <c r="M11" s="2078">
        <v>0</v>
      </c>
      <c r="N11" s="1266"/>
      <c r="O11" s="1267">
        <v>25000</v>
      </c>
      <c r="P11" s="1259">
        <f t="shared" si="7"/>
        <v>25000</v>
      </c>
      <c r="Q11" s="1550">
        <f t="shared" si="0"/>
        <v>50</v>
      </c>
      <c r="R11" s="1137">
        <f t="shared" si="5"/>
        <v>0</v>
      </c>
      <c r="S11" s="209">
        <f t="shared" si="1"/>
        <v>0</v>
      </c>
      <c r="T11" s="209">
        <f t="shared" si="2"/>
        <v>-50000</v>
      </c>
    </row>
    <row r="12" spans="1:22" ht="30.75" customHeight="1">
      <c r="A12" s="630"/>
      <c r="B12" s="366"/>
      <c r="C12" s="618"/>
      <c r="D12" s="424" t="s">
        <v>334</v>
      </c>
      <c r="E12" s="361">
        <v>25000</v>
      </c>
      <c r="F12" s="429"/>
      <c r="G12" s="637">
        <v>20000</v>
      </c>
      <c r="H12" s="1259">
        <f t="shared" si="6"/>
        <v>45000</v>
      </c>
      <c r="I12" s="1291">
        <v>30000</v>
      </c>
      <c r="J12" s="1266"/>
      <c r="K12" s="1267"/>
      <c r="L12" s="1275">
        <v>30000</v>
      </c>
      <c r="M12" s="2077">
        <v>25000</v>
      </c>
      <c r="N12" s="1266"/>
      <c r="O12" s="1267"/>
      <c r="P12" s="1259">
        <f t="shared" si="7"/>
        <v>25000</v>
      </c>
      <c r="Q12" s="1550">
        <f t="shared" si="0"/>
        <v>55.555555555555557</v>
      </c>
      <c r="R12" s="1137">
        <f t="shared" si="5"/>
        <v>0</v>
      </c>
      <c r="S12" s="209">
        <f t="shared" si="1"/>
        <v>0</v>
      </c>
      <c r="T12" s="209">
        <f t="shared" si="2"/>
        <v>-45000</v>
      </c>
    </row>
    <row r="13" spans="1:22" ht="30.75" customHeight="1">
      <c r="A13" s="630"/>
      <c r="B13" s="366"/>
      <c r="C13" s="618"/>
      <c r="D13" s="424" t="s">
        <v>335</v>
      </c>
      <c r="E13" s="362">
        <v>20000</v>
      </c>
      <c r="F13" s="429"/>
      <c r="G13" s="436"/>
      <c r="H13" s="1259">
        <f t="shared" si="6"/>
        <v>20000</v>
      </c>
      <c r="I13" s="1291">
        <v>10000</v>
      </c>
      <c r="J13" s="1266"/>
      <c r="K13" s="1267"/>
      <c r="L13" s="1275">
        <v>10000</v>
      </c>
      <c r="M13" s="2078">
        <v>20000</v>
      </c>
      <c r="N13" s="1266"/>
      <c r="O13" s="1267"/>
      <c r="P13" s="1259">
        <f t="shared" si="7"/>
        <v>20000</v>
      </c>
      <c r="Q13" s="1550">
        <f t="shared" si="0"/>
        <v>100</v>
      </c>
      <c r="R13" s="1137">
        <f t="shared" si="5"/>
        <v>0</v>
      </c>
      <c r="S13" s="209">
        <f t="shared" si="1"/>
        <v>0</v>
      </c>
      <c r="T13" s="209">
        <f t="shared" si="2"/>
        <v>-20000</v>
      </c>
    </row>
    <row r="14" spans="1:22" ht="30.75" customHeight="1">
      <c r="A14" s="629">
        <v>111</v>
      </c>
      <c r="B14" s="363" t="s">
        <v>327</v>
      </c>
      <c r="C14" s="619">
        <v>614300</v>
      </c>
      <c r="D14" s="633" t="s">
        <v>336</v>
      </c>
      <c r="E14" s="360">
        <v>70000</v>
      </c>
      <c r="F14" s="427"/>
      <c r="G14" s="445"/>
      <c r="H14" s="1257">
        <f t="shared" si="6"/>
        <v>70000</v>
      </c>
      <c r="I14" s="1291">
        <v>50000</v>
      </c>
      <c r="J14" s="1266"/>
      <c r="K14" s="1267"/>
      <c r="L14" s="1275">
        <v>10000</v>
      </c>
      <c r="M14" s="2079">
        <v>35000</v>
      </c>
      <c r="N14" s="1263"/>
      <c r="O14" s="1264"/>
      <c r="P14" s="1257">
        <f>SUM(M14:O14)</f>
        <v>35000</v>
      </c>
      <c r="Q14" s="1550">
        <f t="shared" si="0"/>
        <v>50</v>
      </c>
      <c r="R14" s="1137">
        <f t="shared" si="5"/>
        <v>0</v>
      </c>
      <c r="S14" s="209">
        <f t="shared" si="1"/>
        <v>0</v>
      </c>
      <c r="T14" s="209">
        <f t="shared" si="2"/>
        <v>-70000</v>
      </c>
    </row>
    <row r="15" spans="1:22" ht="30.75" customHeight="1">
      <c r="A15" s="629" t="s">
        <v>337</v>
      </c>
      <c r="B15" s="363" t="s">
        <v>327</v>
      </c>
      <c r="C15" s="619">
        <v>614300</v>
      </c>
      <c r="D15" s="638" t="s">
        <v>338</v>
      </c>
      <c r="E15" s="621"/>
      <c r="F15" s="428"/>
      <c r="G15" s="628">
        <v>10000</v>
      </c>
      <c r="H15" s="1260">
        <f>SUM(E15:G15)</f>
        <v>10000</v>
      </c>
      <c r="I15" s="1262">
        <v>100000</v>
      </c>
      <c r="J15" s="1263"/>
      <c r="K15" s="1264"/>
      <c r="L15" s="1257">
        <v>100000</v>
      </c>
      <c r="M15" s="1262"/>
      <c r="N15" s="1263"/>
      <c r="O15" s="1264"/>
      <c r="P15" s="1257">
        <f t="shared" ref="P15:P18" si="8">SUM(M15:O15)</f>
        <v>0</v>
      </c>
      <c r="Q15" s="1550">
        <f t="shared" si="0"/>
        <v>0</v>
      </c>
      <c r="R15" s="1137">
        <f t="shared" si="5"/>
        <v>0</v>
      </c>
      <c r="S15" s="209">
        <f t="shared" si="1"/>
        <v>0</v>
      </c>
      <c r="T15" s="209">
        <f t="shared" si="2"/>
        <v>-10000</v>
      </c>
    </row>
    <row r="16" spans="1:22" ht="30.75" customHeight="1">
      <c r="A16" s="629" t="s">
        <v>339</v>
      </c>
      <c r="B16" s="363" t="s">
        <v>327</v>
      </c>
      <c r="C16" s="619" t="s">
        <v>238</v>
      </c>
      <c r="D16" s="633" t="s">
        <v>340</v>
      </c>
      <c r="E16" s="621">
        <v>125000</v>
      </c>
      <c r="F16" s="428"/>
      <c r="G16" s="628">
        <v>150000</v>
      </c>
      <c r="H16" s="1260">
        <f t="shared" ref="H16:H18" si="9">SUM(E16:G16)</f>
        <v>275000</v>
      </c>
      <c r="I16" s="1262">
        <v>125000</v>
      </c>
      <c r="J16" s="1263"/>
      <c r="K16" s="1264">
        <v>150000</v>
      </c>
      <c r="L16" s="1257">
        <f>SUM(I16+K16)</f>
        <v>275000</v>
      </c>
      <c r="M16" s="1262"/>
      <c r="N16" s="1263"/>
      <c r="O16" s="1264">
        <v>150000</v>
      </c>
      <c r="P16" s="1257">
        <f t="shared" si="8"/>
        <v>150000</v>
      </c>
      <c r="Q16" s="1550">
        <f t="shared" si="0"/>
        <v>54.54545454545454</v>
      </c>
      <c r="R16" s="1137">
        <f t="shared" si="5"/>
        <v>0</v>
      </c>
      <c r="S16" s="209">
        <f t="shared" si="1"/>
        <v>0</v>
      </c>
      <c r="T16" s="209">
        <f t="shared" si="2"/>
        <v>-275000</v>
      </c>
    </row>
    <row r="17" spans="1:20" ht="30.75" customHeight="1">
      <c r="A17" s="629" t="s">
        <v>337</v>
      </c>
      <c r="B17" s="363" t="s">
        <v>327</v>
      </c>
      <c r="C17" s="619" t="s">
        <v>238</v>
      </c>
      <c r="D17" s="633" t="s">
        <v>788</v>
      </c>
      <c r="E17" s="621"/>
      <c r="F17" s="428"/>
      <c r="G17" s="628">
        <v>30000</v>
      </c>
      <c r="H17" s="1260">
        <f t="shared" si="9"/>
        <v>30000</v>
      </c>
      <c r="I17" s="1280"/>
      <c r="J17" s="1276"/>
      <c r="K17" s="1277"/>
      <c r="L17" s="1257"/>
      <c r="M17" s="1280"/>
      <c r="N17" s="1276"/>
      <c r="O17" s="1277"/>
      <c r="P17" s="1257">
        <f t="shared" si="8"/>
        <v>0</v>
      </c>
      <c r="Q17" s="1550">
        <f t="shared" si="0"/>
        <v>0</v>
      </c>
      <c r="R17" s="1137">
        <f t="shared" si="5"/>
        <v>0</v>
      </c>
      <c r="S17" s="209">
        <f t="shared" si="1"/>
        <v>0</v>
      </c>
      <c r="T17" s="209">
        <f t="shared" si="2"/>
        <v>-30000</v>
      </c>
    </row>
    <row r="18" spans="1:20" ht="30.75" customHeight="1">
      <c r="A18" s="629" t="s">
        <v>337</v>
      </c>
      <c r="B18" s="363" t="s">
        <v>327</v>
      </c>
      <c r="C18" s="619" t="s">
        <v>238</v>
      </c>
      <c r="D18" s="633" t="s">
        <v>790</v>
      </c>
      <c r="E18" s="623"/>
      <c r="F18" s="428"/>
      <c r="G18" s="639">
        <v>10005</v>
      </c>
      <c r="H18" s="1260">
        <f t="shared" si="9"/>
        <v>10005</v>
      </c>
      <c r="I18" s="1455"/>
      <c r="J18" s="1276"/>
      <c r="K18" s="1278"/>
      <c r="L18" s="1257"/>
      <c r="M18" s="1455"/>
      <c r="N18" s="1276"/>
      <c r="O18" s="1278"/>
      <c r="P18" s="1257">
        <f t="shared" si="8"/>
        <v>0</v>
      </c>
      <c r="Q18" s="1550">
        <f t="shared" si="0"/>
        <v>0</v>
      </c>
      <c r="R18" s="1137">
        <f t="shared" si="5"/>
        <v>0</v>
      </c>
      <c r="S18" s="209">
        <f t="shared" si="1"/>
        <v>0</v>
      </c>
      <c r="T18" s="209">
        <f t="shared" si="2"/>
        <v>-10005</v>
      </c>
    </row>
    <row r="19" spans="1:20" ht="30.75" customHeight="1">
      <c r="A19" s="629">
        <v>111</v>
      </c>
      <c r="B19" s="363" t="s">
        <v>327</v>
      </c>
      <c r="C19" s="619">
        <v>614311</v>
      </c>
      <c r="D19" s="640" t="s">
        <v>343</v>
      </c>
      <c r="E19" s="360">
        <f>SUM(E20:E31)</f>
        <v>2771970</v>
      </c>
      <c r="F19" s="427">
        <f t="shared" ref="F19:H19" si="10">SUM(F20:F31)</f>
        <v>0</v>
      </c>
      <c r="G19" s="445">
        <f t="shared" si="10"/>
        <v>0</v>
      </c>
      <c r="H19" s="1257">
        <f t="shared" si="10"/>
        <v>2771970</v>
      </c>
      <c r="I19" s="1262">
        <f>SUM(I20:I31)</f>
        <v>2814330</v>
      </c>
      <c r="J19" s="1263"/>
      <c r="K19" s="1264"/>
      <c r="L19" s="1257">
        <f>SUM(L20:L31)</f>
        <v>2814330</v>
      </c>
      <c r="M19" s="1262">
        <f>SUM(M20:M31)</f>
        <v>2806970</v>
      </c>
      <c r="N19" s="1263"/>
      <c r="O19" s="1264"/>
      <c r="P19" s="1257">
        <f>SUM(P20:P31)</f>
        <v>2806970</v>
      </c>
      <c r="Q19" s="1550">
        <f t="shared" si="0"/>
        <v>101.26263992756054</v>
      </c>
      <c r="R19" s="1137">
        <f t="shared" si="5"/>
        <v>0</v>
      </c>
      <c r="S19" s="209">
        <f t="shared" si="1"/>
        <v>0</v>
      </c>
      <c r="T19" s="209">
        <f t="shared" si="2"/>
        <v>-2771970</v>
      </c>
    </row>
    <row r="20" spans="1:20" ht="30.75" customHeight="1">
      <c r="A20" s="630"/>
      <c r="B20" s="366"/>
      <c r="C20" s="618"/>
      <c r="D20" s="634" t="s">
        <v>344</v>
      </c>
      <c r="E20" s="624">
        <v>188950</v>
      </c>
      <c r="F20" s="429"/>
      <c r="G20" s="436"/>
      <c r="H20" s="1259">
        <f t="shared" ref="H20:H35" si="11">SUM(E20:G20)</f>
        <v>188950</v>
      </c>
      <c r="I20" s="1459">
        <v>188950</v>
      </c>
      <c r="J20" s="1266"/>
      <c r="K20" s="1267"/>
      <c r="L20" s="1452">
        <v>188950</v>
      </c>
      <c r="M20" s="2080">
        <v>188950</v>
      </c>
      <c r="N20" s="1266"/>
      <c r="O20" s="1267"/>
      <c r="P20" s="1259">
        <f>SUM(M20:O20)</f>
        <v>188950</v>
      </c>
      <c r="Q20" s="1550">
        <f t="shared" si="0"/>
        <v>100</v>
      </c>
      <c r="R20" s="1137">
        <f t="shared" si="5"/>
        <v>0</v>
      </c>
      <c r="S20" s="209">
        <f t="shared" si="1"/>
        <v>0</v>
      </c>
      <c r="T20" s="209">
        <f t="shared" si="2"/>
        <v>-188950</v>
      </c>
    </row>
    <row r="21" spans="1:20" ht="30.75" customHeight="1">
      <c r="A21" s="630"/>
      <c r="B21" s="366"/>
      <c r="C21" s="641"/>
      <c r="D21" s="424" t="s">
        <v>345</v>
      </c>
      <c r="E21" s="624">
        <v>175600</v>
      </c>
      <c r="F21" s="429"/>
      <c r="G21" s="436"/>
      <c r="H21" s="1259">
        <f t="shared" si="11"/>
        <v>175600</v>
      </c>
      <c r="I21" s="1459">
        <v>175600</v>
      </c>
      <c r="J21" s="1266"/>
      <c r="K21" s="1267"/>
      <c r="L21" s="1452">
        <v>175600</v>
      </c>
      <c r="M21" s="2080">
        <v>175600</v>
      </c>
      <c r="N21" s="1266"/>
      <c r="O21" s="1267"/>
      <c r="P21" s="1259">
        <f t="shared" ref="P21:P31" si="12">SUM(M21:O21)</f>
        <v>175600</v>
      </c>
      <c r="Q21" s="1550">
        <f t="shared" si="0"/>
        <v>100</v>
      </c>
      <c r="R21" s="1137">
        <f t="shared" si="5"/>
        <v>0</v>
      </c>
      <c r="S21" s="209">
        <f t="shared" si="1"/>
        <v>0</v>
      </c>
      <c r="T21" s="209">
        <f t="shared" si="2"/>
        <v>-175600</v>
      </c>
    </row>
    <row r="22" spans="1:20" ht="30.75" customHeight="1">
      <c r="A22" s="630"/>
      <c r="B22" s="366"/>
      <c r="C22" s="641"/>
      <c r="D22" s="424" t="s">
        <v>346</v>
      </c>
      <c r="E22" s="624">
        <v>385220</v>
      </c>
      <c r="F22" s="429"/>
      <c r="G22" s="436"/>
      <c r="H22" s="1259">
        <f t="shared" si="11"/>
        <v>385220</v>
      </c>
      <c r="I22" s="1459">
        <v>385220</v>
      </c>
      <c r="J22" s="1266"/>
      <c r="K22" s="1267"/>
      <c r="L22" s="1452">
        <v>385220</v>
      </c>
      <c r="M22" s="2080">
        <v>402720</v>
      </c>
      <c r="N22" s="1266"/>
      <c r="O22" s="1267"/>
      <c r="P22" s="1259">
        <f t="shared" si="12"/>
        <v>402720</v>
      </c>
      <c r="Q22" s="1550">
        <f t="shared" si="0"/>
        <v>104.54285862623955</v>
      </c>
      <c r="R22" s="1137">
        <f t="shared" si="5"/>
        <v>0</v>
      </c>
      <c r="S22" s="209">
        <f t="shared" si="1"/>
        <v>0</v>
      </c>
      <c r="T22" s="209">
        <f t="shared" si="2"/>
        <v>-385220</v>
      </c>
    </row>
    <row r="23" spans="1:20" ht="30.75" customHeight="1">
      <c r="A23" s="630"/>
      <c r="B23" s="366"/>
      <c r="C23" s="641"/>
      <c r="D23" s="424" t="s">
        <v>347</v>
      </c>
      <c r="E23" s="624">
        <v>43620</v>
      </c>
      <c r="F23" s="429"/>
      <c r="G23" s="436"/>
      <c r="H23" s="1259">
        <f t="shared" si="11"/>
        <v>43620</v>
      </c>
      <c r="I23" s="1459">
        <v>43620</v>
      </c>
      <c r="J23" s="1266"/>
      <c r="K23" s="1267"/>
      <c r="L23" s="1452">
        <v>43620</v>
      </c>
      <c r="M23" s="2080">
        <v>43620</v>
      </c>
      <c r="N23" s="1266"/>
      <c r="O23" s="1267"/>
      <c r="P23" s="1259">
        <f t="shared" si="12"/>
        <v>43620</v>
      </c>
      <c r="Q23" s="1550">
        <f t="shared" si="0"/>
        <v>100</v>
      </c>
      <c r="R23" s="1137">
        <f t="shared" si="5"/>
        <v>0</v>
      </c>
      <c r="S23" s="209">
        <f t="shared" si="1"/>
        <v>0</v>
      </c>
      <c r="T23" s="209">
        <f t="shared" si="2"/>
        <v>-43620</v>
      </c>
    </row>
    <row r="24" spans="1:20" ht="30.75" customHeight="1">
      <c r="A24" s="630"/>
      <c r="B24" s="366"/>
      <c r="C24" s="641"/>
      <c r="D24" s="424" t="s">
        <v>348</v>
      </c>
      <c r="E24" s="624">
        <v>326880</v>
      </c>
      <c r="F24" s="429"/>
      <c r="G24" s="436"/>
      <c r="H24" s="1259">
        <f t="shared" si="11"/>
        <v>326880</v>
      </c>
      <c r="I24" s="1459">
        <v>326880</v>
      </c>
      <c r="J24" s="1266"/>
      <c r="K24" s="1267"/>
      <c r="L24" s="1452">
        <v>326880</v>
      </c>
      <c r="M24" s="2080">
        <v>344380</v>
      </c>
      <c r="N24" s="1266"/>
      <c r="O24" s="1267"/>
      <c r="P24" s="1259">
        <f t="shared" si="12"/>
        <v>344380</v>
      </c>
      <c r="Q24" s="1550">
        <f t="shared" si="0"/>
        <v>105.35364659813999</v>
      </c>
      <c r="R24" s="1137">
        <f t="shared" si="5"/>
        <v>0</v>
      </c>
      <c r="S24" s="209">
        <f t="shared" si="1"/>
        <v>0</v>
      </c>
      <c r="T24" s="209">
        <f t="shared" si="2"/>
        <v>-326880</v>
      </c>
    </row>
    <row r="25" spans="1:20" ht="30.75" customHeight="1">
      <c r="A25" s="630"/>
      <c r="B25" s="366"/>
      <c r="C25" s="641"/>
      <c r="D25" s="424" t="s">
        <v>349</v>
      </c>
      <c r="E25" s="624">
        <v>43370</v>
      </c>
      <c r="F25" s="429"/>
      <c r="G25" s="436"/>
      <c r="H25" s="1259">
        <f t="shared" si="11"/>
        <v>43370</v>
      </c>
      <c r="I25" s="1459">
        <v>43370</v>
      </c>
      <c r="J25" s="1266"/>
      <c r="K25" s="1267"/>
      <c r="L25" s="1452">
        <v>43370</v>
      </c>
      <c r="M25" s="2080">
        <v>43370</v>
      </c>
      <c r="N25" s="1266"/>
      <c r="O25" s="1267"/>
      <c r="P25" s="1259">
        <f t="shared" si="12"/>
        <v>43370</v>
      </c>
      <c r="Q25" s="1550">
        <f t="shared" si="0"/>
        <v>100</v>
      </c>
      <c r="R25" s="1137">
        <f t="shared" si="5"/>
        <v>0</v>
      </c>
      <c r="S25" s="209">
        <f t="shared" si="1"/>
        <v>0</v>
      </c>
      <c r="T25" s="209">
        <f t="shared" si="2"/>
        <v>-43370</v>
      </c>
    </row>
    <row r="26" spans="1:20" ht="30.75" customHeight="1">
      <c r="A26" s="630"/>
      <c r="B26" s="366"/>
      <c r="C26" s="641"/>
      <c r="D26" s="424" t="s">
        <v>350</v>
      </c>
      <c r="E26" s="624">
        <v>253950</v>
      </c>
      <c r="F26" s="429"/>
      <c r="G26" s="436"/>
      <c r="H26" s="1259">
        <f t="shared" si="11"/>
        <v>253950</v>
      </c>
      <c r="I26" s="1459">
        <v>263950</v>
      </c>
      <c r="J26" s="1266"/>
      <c r="K26" s="1267"/>
      <c r="L26" s="1452">
        <v>263950</v>
      </c>
      <c r="M26" s="2080">
        <v>253950</v>
      </c>
      <c r="N26" s="1266"/>
      <c r="O26" s="1267"/>
      <c r="P26" s="1259">
        <f t="shared" si="12"/>
        <v>253950</v>
      </c>
      <c r="Q26" s="1550">
        <f t="shared" si="0"/>
        <v>100</v>
      </c>
      <c r="R26" s="1137">
        <f t="shared" si="5"/>
        <v>0</v>
      </c>
      <c r="S26" s="209">
        <f t="shared" si="1"/>
        <v>0</v>
      </c>
      <c r="T26" s="209">
        <f t="shared" si="2"/>
        <v>-253950</v>
      </c>
    </row>
    <row r="27" spans="1:20" ht="30.75" customHeight="1">
      <c r="A27" s="630"/>
      <c r="B27" s="366"/>
      <c r="C27" s="641"/>
      <c r="D27" s="426" t="s">
        <v>351</v>
      </c>
      <c r="E27" s="624">
        <v>296630</v>
      </c>
      <c r="F27" s="429"/>
      <c r="G27" s="436"/>
      <c r="H27" s="1259">
        <f t="shared" si="11"/>
        <v>296630</v>
      </c>
      <c r="I27" s="1459">
        <v>296630</v>
      </c>
      <c r="J27" s="1266"/>
      <c r="K27" s="1267"/>
      <c r="L27" s="1452">
        <v>296630</v>
      </c>
      <c r="M27" s="2080">
        <v>296630</v>
      </c>
      <c r="N27" s="1266"/>
      <c r="O27" s="1267"/>
      <c r="P27" s="1259">
        <f t="shared" si="12"/>
        <v>296630</v>
      </c>
      <c r="Q27" s="1550">
        <f t="shared" si="0"/>
        <v>100</v>
      </c>
      <c r="R27" s="1137">
        <f t="shared" si="5"/>
        <v>0</v>
      </c>
      <c r="S27" s="209">
        <f t="shared" si="1"/>
        <v>0</v>
      </c>
      <c r="T27" s="209">
        <f t="shared" si="2"/>
        <v>-296630</v>
      </c>
    </row>
    <row r="28" spans="1:20" ht="30.75" customHeight="1">
      <c r="A28" s="630"/>
      <c r="B28" s="366"/>
      <c r="C28" s="641"/>
      <c r="D28" s="426" t="s">
        <v>352</v>
      </c>
      <c r="E28" s="624">
        <v>296630</v>
      </c>
      <c r="F28" s="429"/>
      <c r="G28" s="436"/>
      <c r="H28" s="1259">
        <f t="shared" si="11"/>
        <v>296630</v>
      </c>
      <c r="I28" s="1459">
        <v>296630</v>
      </c>
      <c r="J28" s="1266"/>
      <c r="K28" s="1267"/>
      <c r="L28" s="1452">
        <v>296630</v>
      </c>
      <c r="M28" s="2080">
        <v>296630</v>
      </c>
      <c r="N28" s="1266"/>
      <c r="O28" s="1267"/>
      <c r="P28" s="1259">
        <f t="shared" si="12"/>
        <v>296630</v>
      </c>
      <c r="Q28" s="1550">
        <f t="shared" si="0"/>
        <v>100</v>
      </c>
      <c r="R28" s="1137">
        <f t="shared" si="5"/>
        <v>0</v>
      </c>
      <c r="S28" s="209">
        <f t="shared" si="1"/>
        <v>0</v>
      </c>
      <c r="T28" s="209">
        <f t="shared" si="2"/>
        <v>-296630</v>
      </c>
    </row>
    <row r="29" spans="1:20" ht="30.75" customHeight="1">
      <c r="A29" s="630"/>
      <c r="B29" s="366"/>
      <c r="C29" s="641"/>
      <c r="D29" s="424" t="s">
        <v>353</v>
      </c>
      <c r="E29" s="625">
        <v>267760</v>
      </c>
      <c r="F29" s="429"/>
      <c r="G29" s="436"/>
      <c r="H29" s="1259">
        <f t="shared" si="11"/>
        <v>267760</v>
      </c>
      <c r="I29" s="1460">
        <v>279850</v>
      </c>
      <c r="J29" s="1266"/>
      <c r="K29" s="1267"/>
      <c r="L29" s="1453">
        <v>279850</v>
      </c>
      <c r="M29" s="2081">
        <v>267760</v>
      </c>
      <c r="N29" s="1266"/>
      <c r="O29" s="1267"/>
      <c r="P29" s="1259">
        <f t="shared" si="12"/>
        <v>267760</v>
      </c>
      <c r="Q29" s="1550">
        <f t="shared" si="0"/>
        <v>100</v>
      </c>
      <c r="R29" s="1137">
        <f t="shared" si="5"/>
        <v>0</v>
      </c>
      <c r="S29" s="209">
        <f t="shared" si="1"/>
        <v>0</v>
      </c>
      <c r="T29" s="209">
        <f t="shared" si="2"/>
        <v>-267760</v>
      </c>
    </row>
    <row r="30" spans="1:20" ht="30.75" customHeight="1">
      <c r="A30" s="630"/>
      <c r="B30" s="366"/>
      <c r="C30" s="641"/>
      <c r="D30" s="424" t="s">
        <v>354</v>
      </c>
      <c r="E30" s="624">
        <v>259580</v>
      </c>
      <c r="F30" s="429"/>
      <c r="G30" s="436"/>
      <c r="H30" s="1259">
        <f t="shared" si="11"/>
        <v>259580</v>
      </c>
      <c r="I30" s="1459">
        <v>279850</v>
      </c>
      <c r="J30" s="1266"/>
      <c r="K30" s="1267"/>
      <c r="L30" s="1452">
        <v>279850</v>
      </c>
      <c r="M30" s="2080">
        <v>259580</v>
      </c>
      <c r="N30" s="1266"/>
      <c r="O30" s="1267"/>
      <c r="P30" s="1259">
        <f t="shared" si="12"/>
        <v>259580</v>
      </c>
      <c r="Q30" s="1550">
        <f t="shared" si="0"/>
        <v>100</v>
      </c>
      <c r="R30" s="1137">
        <f t="shared" si="5"/>
        <v>0</v>
      </c>
      <c r="S30" s="209">
        <f t="shared" si="1"/>
        <v>0</v>
      </c>
      <c r="T30" s="209">
        <f t="shared" si="2"/>
        <v>-259580</v>
      </c>
    </row>
    <row r="31" spans="1:20" ht="30.75" customHeight="1">
      <c r="A31" s="630"/>
      <c r="B31" s="366"/>
      <c r="C31" s="641"/>
      <c r="D31" s="424" t="s">
        <v>355</v>
      </c>
      <c r="E31" s="624">
        <v>233780</v>
      </c>
      <c r="F31" s="429"/>
      <c r="G31" s="436"/>
      <c r="H31" s="1259">
        <f t="shared" si="11"/>
        <v>233780</v>
      </c>
      <c r="I31" s="1459">
        <v>233780</v>
      </c>
      <c r="J31" s="1266"/>
      <c r="K31" s="1267"/>
      <c r="L31" s="1452">
        <v>233780</v>
      </c>
      <c r="M31" s="2080">
        <v>233780</v>
      </c>
      <c r="N31" s="1266"/>
      <c r="O31" s="1267"/>
      <c r="P31" s="1259">
        <f t="shared" si="12"/>
        <v>233780</v>
      </c>
      <c r="Q31" s="1550">
        <f t="shared" si="0"/>
        <v>100</v>
      </c>
      <c r="R31" s="1137">
        <f t="shared" si="5"/>
        <v>0</v>
      </c>
      <c r="S31" s="209">
        <f t="shared" si="1"/>
        <v>0</v>
      </c>
      <c r="T31" s="209">
        <f t="shared" si="2"/>
        <v>-233780</v>
      </c>
    </row>
    <row r="32" spans="1:20" ht="30.75" customHeight="1">
      <c r="A32" s="629" t="s">
        <v>319</v>
      </c>
      <c r="B32" s="363" t="s">
        <v>327</v>
      </c>
      <c r="C32" s="499" t="s">
        <v>238</v>
      </c>
      <c r="D32" s="425" t="s">
        <v>789</v>
      </c>
      <c r="E32" s="626">
        <v>9000</v>
      </c>
      <c r="F32" s="427"/>
      <c r="G32" s="445"/>
      <c r="H32" s="1257">
        <f t="shared" si="11"/>
        <v>9000</v>
      </c>
      <c r="I32" s="1456">
        <v>9000</v>
      </c>
      <c r="J32" s="1263"/>
      <c r="K32" s="1264"/>
      <c r="L32" s="1257">
        <v>9000</v>
      </c>
      <c r="M32" s="2082">
        <v>9000</v>
      </c>
      <c r="N32" s="1263"/>
      <c r="O32" s="1264"/>
      <c r="P32" s="1257">
        <f t="shared" ref="P32" si="13">SUM(M32:O32)</f>
        <v>9000</v>
      </c>
      <c r="Q32" s="1550">
        <f t="shared" si="0"/>
        <v>100</v>
      </c>
      <c r="R32" s="1137">
        <f t="shared" si="5"/>
        <v>0</v>
      </c>
      <c r="S32" s="209">
        <f t="shared" si="1"/>
        <v>0</v>
      </c>
      <c r="T32" s="209">
        <f t="shared" si="2"/>
        <v>-9000</v>
      </c>
    </row>
    <row r="33" spans="1:20" ht="30.75" customHeight="1">
      <c r="A33" s="631" t="s">
        <v>337</v>
      </c>
      <c r="B33" s="627" t="s">
        <v>327</v>
      </c>
      <c r="C33" s="499" t="s">
        <v>238</v>
      </c>
      <c r="D33" s="1507" t="s">
        <v>1305</v>
      </c>
      <c r="E33" s="3010"/>
      <c r="F33" s="1276"/>
      <c r="G33" s="1277">
        <v>5000</v>
      </c>
      <c r="H33" s="1257">
        <f t="shared" si="11"/>
        <v>5000</v>
      </c>
      <c r="I33" s="1456"/>
      <c r="J33" s="1263"/>
      <c r="K33" s="1264"/>
      <c r="L33" s="1257"/>
      <c r="M33" s="1456"/>
      <c r="N33" s="1263"/>
      <c r="O33" s="1264"/>
      <c r="P33" s="1257"/>
      <c r="Q33" s="1550">
        <f t="shared" si="0"/>
        <v>0</v>
      </c>
      <c r="R33" s="1137">
        <f t="shared" si="5"/>
        <v>0</v>
      </c>
      <c r="S33" s="209">
        <f t="shared" si="1"/>
        <v>0</v>
      </c>
      <c r="T33" s="209">
        <f t="shared" si="2"/>
        <v>-5000</v>
      </c>
    </row>
    <row r="34" spans="1:20" ht="30.75" customHeight="1">
      <c r="A34" s="631"/>
      <c r="B34" s="627"/>
      <c r="C34" s="499" t="s">
        <v>1478</v>
      </c>
      <c r="D34" s="1507" t="s">
        <v>1306</v>
      </c>
      <c r="E34" s="3010"/>
      <c r="F34" s="1276"/>
      <c r="G34" s="1277">
        <v>16000</v>
      </c>
      <c r="H34" s="1257">
        <f t="shared" si="11"/>
        <v>16000</v>
      </c>
      <c r="I34" s="1457"/>
      <c r="J34" s="1276"/>
      <c r="K34" s="1277"/>
      <c r="L34" s="1454"/>
      <c r="M34" s="1457"/>
      <c r="N34" s="1276"/>
      <c r="O34" s="1277"/>
      <c r="P34" s="1454"/>
      <c r="Q34" s="1550">
        <f t="shared" si="0"/>
        <v>0</v>
      </c>
      <c r="R34" s="1137">
        <f t="shared" si="5"/>
        <v>0</v>
      </c>
      <c r="S34" s="209">
        <f t="shared" si="1"/>
        <v>0</v>
      </c>
      <c r="T34" s="209"/>
    </row>
    <row r="35" spans="1:20" ht="30.75" customHeight="1">
      <c r="A35" s="631" t="s">
        <v>337</v>
      </c>
      <c r="B35" s="627" t="s">
        <v>327</v>
      </c>
      <c r="C35" s="499" t="s">
        <v>238</v>
      </c>
      <c r="D35" s="1507" t="s">
        <v>1306</v>
      </c>
      <c r="E35" s="3010"/>
      <c r="F35" s="1276"/>
      <c r="G35" s="1277">
        <v>8000</v>
      </c>
      <c r="H35" s="1257">
        <f t="shared" si="11"/>
        <v>8000</v>
      </c>
      <c r="I35" s="1457"/>
      <c r="J35" s="1276"/>
      <c r="K35" s="1277"/>
      <c r="L35" s="1454"/>
      <c r="M35" s="1457"/>
      <c r="N35" s="1276"/>
      <c r="O35" s="1277"/>
      <c r="P35" s="1454"/>
      <c r="Q35" s="1550">
        <f t="shared" si="0"/>
        <v>0</v>
      </c>
      <c r="R35" s="1137">
        <f t="shared" si="5"/>
        <v>0</v>
      </c>
      <c r="S35" s="209">
        <f t="shared" si="1"/>
        <v>0</v>
      </c>
      <c r="T35" s="209">
        <f>S35-H35</f>
        <v>-8000</v>
      </c>
    </row>
    <row r="36" spans="1:20" ht="31.5">
      <c r="A36" s="629">
        <v>111</v>
      </c>
      <c r="B36" s="363"/>
      <c r="C36" s="444">
        <v>614324</v>
      </c>
      <c r="D36" s="1507" t="s">
        <v>1214</v>
      </c>
      <c r="E36" s="3011">
        <f>SUM(E37:E39)</f>
        <v>87830</v>
      </c>
      <c r="F36" s="1263">
        <f>SUM(F37:F37)</f>
        <v>0</v>
      </c>
      <c r="G36" s="1264">
        <f>SUM(G37:G37)</f>
        <v>0</v>
      </c>
      <c r="H36" s="1257">
        <f>SUM(H37:H39)</f>
        <v>87830</v>
      </c>
      <c r="I36" s="1280">
        <f>SUM(I38)</f>
        <v>71000</v>
      </c>
      <c r="J36" s="1263"/>
      <c r="K36" s="1264"/>
      <c r="L36" s="1257">
        <f>SUM(L38)</f>
        <v>71000</v>
      </c>
      <c r="M36" s="1280">
        <f>SUM(M37:M39)</f>
        <v>36000</v>
      </c>
      <c r="N36" s="1263"/>
      <c r="O36" s="1264"/>
      <c r="P36" s="1257">
        <f>SUM(P37:P39)</f>
        <v>36000</v>
      </c>
      <c r="Q36" s="1550">
        <f t="shared" si="0"/>
        <v>40.988272799726744</v>
      </c>
      <c r="R36" s="1137">
        <f t="shared" si="5"/>
        <v>0</v>
      </c>
      <c r="S36" s="209">
        <f t="shared" si="1"/>
        <v>0</v>
      </c>
      <c r="T36" s="209">
        <f>S36-H36</f>
        <v>-87830</v>
      </c>
    </row>
    <row r="37" spans="1:20" ht="31.5">
      <c r="A37" s="630"/>
      <c r="B37" s="642" t="s">
        <v>327</v>
      </c>
      <c r="C37" s="442"/>
      <c r="D37" s="1285" t="s">
        <v>1229</v>
      </c>
      <c r="E37" s="1536">
        <v>35500</v>
      </c>
      <c r="F37" s="1266"/>
      <c r="G37" s="1267"/>
      <c r="H37" s="1259">
        <v>35500</v>
      </c>
      <c r="I37" s="1269"/>
      <c r="J37" s="1266"/>
      <c r="K37" s="1267"/>
      <c r="L37" s="1259"/>
      <c r="M37" s="1269"/>
      <c r="N37" s="1266"/>
      <c r="O37" s="1267"/>
      <c r="P37" s="1259">
        <f t="shared" ref="P37:P41" si="14">SUM(M37:O37)</f>
        <v>0</v>
      </c>
      <c r="Q37" s="1550">
        <f t="shared" si="0"/>
        <v>0</v>
      </c>
      <c r="R37" s="1137">
        <f t="shared" si="5"/>
        <v>0</v>
      </c>
      <c r="S37" s="209">
        <f t="shared" si="1"/>
        <v>0</v>
      </c>
      <c r="T37" s="209">
        <f>S37-H37</f>
        <v>-35500</v>
      </c>
    </row>
    <row r="38" spans="1:20" s="335" customFormat="1">
      <c r="A38" s="630"/>
      <c r="B38" s="643" t="s">
        <v>1184</v>
      </c>
      <c r="C38" s="644"/>
      <c r="D38" s="3002" t="s">
        <v>1231</v>
      </c>
      <c r="E38" s="3012">
        <v>47330</v>
      </c>
      <c r="F38" s="1270"/>
      <c r="G38" s="1271"/>
      <c r="H38" s="1259">
        <v>47330</v>
      </c>
      <c r="I38" s="1458">
        <v>71000</v>
      </c>
      <c r="J38" s="1270"/>
      <c r="K38" s="1271"/>
      <c r="L38" s="1259">
        <v>71000</v>
      </c>
      <c r="M38" s="1458">
        <v>36000</v>
      </c>
      <c r="N38" s="1270"/>
      <c r="O38" s="1271"/>
      <c r="P38" s="1259">
        <f t="shared" si="14"/>
        <v>36000</v>
      </c>
      <c r="Q38" s="1550">
        <f t="shared" si="0"/>
        <v>76.061694485527156</v>
      </c>
      <c r="R38" s="1137">
        <f t="shared" si="5"/>
        <v>0</v>
      </c>
      <c r="S38" s="209">
        <f t="shared" si="1"/>
        <v>0</v>
      </c>
      <c r="T38" s="209">
        <f>S38-H38</f>
        <v>-47330</v>
      </c>
    </row>
    <row r="39" spans="1:20" ht="32.25" thickBot="1">
      <c r="A39" s="632"/>
      <c r="B39" s="645" t="s">
        <v>327</v>
      </c>
      <c r="C39" s="372"/>
      <c r="D39" s="3003" t="s">
        <v>1230</v>
      </c>
      <c r="E39" s="3013">
        <v>5000</v>
      </c>
      <c r="F39" s="1266"/>
      <c r="G39" s="1267"/>
      <c r="H39" s="3007">
        <v>5000</v>
      </c>
      <c r="I39" s="1450"/>
      <c r="J39" s="1266"/>
      <c r="K39" s="1267"/>
      <c r="L39" s="1259"/>
      <c r="M39" s="1450"/>
      <c r="N39" s="1266"/>
      <c r="O39" s="1267"/>
      <c r="P39" s="1259">
        <f t="shared" si="14"/>
        <v>0</v>
      </c>
      <c r="Q39" s="1550">
        <f t="shared" si="0"/>
        <v>0</v>
      </c>
      <c r="R39" s="1137">
        <f t="shared" si="5"/>
        <v>0</v>
      </c>
      <c r="S39" s="209">
        <f t="shared" si="1"/>
        <v>0</v>
      </c>
      <c r="T39" s="209">
        <f>S39-H39</f>
        <v>-5000</v>
      </c>
    </row>
    <row r="40" spans="1:20" ht="20.25" thickTop="1">
      <c r="A40" s="748"/>
      <c r="B40" s="2289"/>
      <c r="C40" s="2290"/>
      <c r="D40" s="3004" t="s">
        <v>1512</v>
      </c>
      <c r="E40" s="3014">
        <f>SUM(E7,E14:E19,E32:E36)</f>
        <v>3308800</v>
      </c>
      <c r="F40" s="3015">
        <f>SUM(F7,F14:F19,F32:F36)</f>
        <v>0</v>
      </c>
      <c r="G40" s="2233">
        <f>SUM(G8:G14,G16,G34)</f>
        <v>206000</v>
      </c>
      <c r="H40" s="3008">
        <f>E40+F40+G40</f>
        <v>3514800</v>
      </c>
      <c r="I40" s="2279"/>
      <c r="J40" s="2232"/>
      <c r="K40" s="2233"/>
      <c r="L40" s="2280"/>
      <c r="M40" s="2281"/>
      <c r="N40" s="2282"/>
      <c r="O40" s="2283"/>
      <c r="P40" s="2280">
        <f t="shared" si="14"/>
        <v>0</v>
      </c>
      <c r="Q40" s="2284">
        <f t="shared" si="0"/>
        <v>0</v>
      </c>
      <c r="R40" s="1137">
        <f t="shared" si="5"/>
        <v>0</v>
      </c>
      <c r="S40" s="209">
        <f t="shared" si="1"/>
        <v>0</v>
      </c>
      <c r="T40" s="209"/>
    </row>
    <row r="41" spans="1:20" ht="15" customHeight="1">
      <c r="B41" s="2291"/>
      <c r="C41" s="2292"/>
      <c r="D41" s="3005" t="s">
        <v>780</v>
      </c>
      <c r="E41" s="3016"/>
      <c r="F41" s="3017"/>
      <c r="G41" s="2283">
        <f>SUM(G15+G17+G18+G33+G35)</f>
        <v>63005</v>
      </c>
      <c r="H41" s="2345">
        <f>E41+F41+G41</f>
        <v>63005</v>
      </c>
      <c r="I41" s="2279"/>
      <c r="J41" s="2232"/>
      <c r="K41" s="2233"/>
      <c r="L41" s="2280"/>
      <c r="M41" s="2285"/>
      <c r="N41" s="2286"/>
      <c r="O41" s="2287"/>
      <c r="P41" s="2280">
        <f t="shared" si="14"/>
        <v>0</v>
      </c>
      <c r="Q41" s="2284">
        <f t="shared" si="0"/>
        <v>0</v>
      </c>
      <c r="R41" s="1137">
        <f t="shared" si="5"/>
        <v>0</v>
      </c>
      <c r="S41" s="209">
        <f t="shared" si="1"/>
        <v>0</v>
      </c>
      <c r="T41" s="209">
        <f>S41-H41</f>
        <v>-63005</v>
      </c>
    </row>
    <row r="42" spans="1:20" ht="20.25" thickBot="1">
      <c r="B42" s="2293"/>
      <c r="C42" s="2294"/>
      <c r="D42" s="3006"/>
      <c r="E42" s="3018">
        <f>E40+E41</f>
        <v>3308800</v>
      </c>
      <c r="F42" s="3019">
        <f t="shared" ref="F42:H42" si="15">F40+F41</f>
        <v>0</v>
      </c>
      <c r="G42" s="3020">
        <f t="shared" si="15"/>
        <v>269005</v>
      </c>
      <c r="H42" s="3009">
        <f t="shared" si="15"/>
        <v>3577805</v>
      </c>
      <c r="I42" s="3018"/>
      <c r="J42" s="3019"/>
      <c r="K42" s="3020"/>
      <c r="L42" s="3009"/>
      <c r="M42" s="3021"/>
      <c r="N42" s="3022"/>
      <c r="O42" s="3023"/>
      <c r="P42" s="3024"/>
      <c r="Q42" s="3025"/>
      <c r="R42" s="1137">
        <f t="shared" si="5"/>
        <v>0</v>
      </c>
      <c r="S42" s="209">
        <f t="shared" si="1"/>
        <v>0</v>
      </c>
    </row>
    <row r="43" spans="1:20" ht="20.25" thickTop="1">
      <c r="E43" s="209">
        <f t="shared" ref="E43:G43" si="16">E6</f>
        <v>3308800</v>
      </c>
      <c r="F43" s="209">
        <f t="shared" si="16"/>
        <v>0</v>
      </c>
      <c r="G43" s="209">
        <f t="shared" si="16"/>
        <v>269005</v>
      </c>
      <c r="H43" s="209">
        <f>H6</f>
        <v>3577805</v>
      </c>
      <c r="I43" s="209"/>
      <c r="J43" s="209"/>
      <c r="K43" s="209"/>
      <c r="L43" s="209"/>
      <c r="M43" s="459"/>
      <c r="N43" s="459"/>
      <c r="O43" s="459"/>
      <c r="P43" s="459"/>
    </row>
    <row r="44" spans="1:20">
      <c r="E44" s="459">
        <f>E6-E43</f>
        <v>0</v>
      </c>
      <c r="F44" s="459">
        <f t="shared" ref="F44:H44" si="17">F6-F43</f>
        <v>0</v>
      </c>
      <c r="G44" s="459">
        <f t="shared" si="17"/>
        <v>0</v>
      </c>
      <c r="H44" s="459">
        <f t="shared" si="17"/>
        <v>0</v>
      </c>
      <c r="I44" s="459"/>
      <c r="J44" s="459"/>
      <c r="K44" s="459"/>
      <c r="L44" s="459"/>
      <c r="M44" s="458"/>
      <c r="N44" s="458"/>
      <c r="O44" s="458"/>
      <c r="P44" s="458"/>
    </row>
    <row r="45" spans="1:20">
      <c r="E45" s="459"/>
      <c r="F45" s="459"/>
      <c r="G45" s="459"/>
      <c r="H45" s="459"/>
      <c r="I45" s="459"/>
      <c r="J45" s="459"/>
      <c r="K45" s="459"/>
      <c r="L45" s="459"/>
    </row>
    <row r="46" spans="1:20">
      <c r="E46" s="458"/>
      <c r="F46" s="458"/>
      <c r="G46" s="458"/>
      <c r="H46" s="458"/>
      <c r="I46" s="458"/>
      <c r="J46" s="458"/>
      <c r="K46" s="458"/>
      <c r="L46" s="458"/>
    </row>
  </sheetData>
  <mergeCells count="8">
    <mergeCell ref="A2:A3"/>
    <mergeCell ref="B2:B3"/>
    <mergeCell ref="C2:C3"/>
    <mergeCell ref="D2:D3"/>
    <mergeCell ref="Q2:Q3"/>
    <mergeCell ref="M2:P2"/>
    <mergeCell ref="E2:H2"/>
    <mergeCell ref="I2:L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&amp;RPrilog br. 1</oddHeader>
    <oddFooter>&amp;L&amp;"Times New Roman,Uobičajeno"&amp;14&amp;K00-027Budžet Grada Mostara za 2022
.godinu-Služba za kulturu&amp;C&amp;"Times New Roman,Uobičajeno"&amp;14&amp;P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"/>
  <dimension ref="A1:U76"/>
  <sheetViews>
    <sheetView view="pageBreakPreview" topLeftCell="A13" zoomScale="82" zoomScaleSheetLayoutView="82" workbookViewId="0">
      <selection activeCell="Q51" sqref="Q51"/>
    </sheetView>
  </sheetViews>
  <sheetFormatPr defaultRowHeight="15.75"/>
  <cols>
    <col min="1" max="1" width="9.140625" style="258" bestFit="1" customWidth="1"/>
    <col min="2" max="2" width="8.85546875" style="258"/>
    <col min="3" max="3" width="9.140625" style="258" bestFit="1" customWidth="1"/>
    <col min="4" max="4" width="36.140625" style="258" customWidth="1"/>
    <col min="5" max="5" width="10.85546875" customWidth="1"/>
    <col min="6" max="7" width="10.28515625" customWidth="1"/>
    <col min="8" max="16" width="11.42578125" customWidth="1"/>
    <col min="17" max="17" width="7.5703125" customWidth="1"/>
    <col min="18" max="18" width="15.7109375" customWidth="1"/>
    <col min="19" max="19" width="18.42578125" style="1126" customWidth="1"/>
    <col min="20" max="20" width="11.5703125" customWidth="1"/>
  </cols>
  <sheetData>
    <row r="1" spans="1:21" ht="34.15" customHeight="1" thickBot="1">
      <c r="D1" s="620" t="s">
        <v>1476</v>
      </c>
    </row>
    <row r="2" spans="1:21" ht="35.25" customHeight="1" thickTop="1">
      <c r="A2" s="3415" t="s">
        <v>200</v>
      </c>
      <c r="B2" s="3417" t="s">
        <v>201</v>
      </c>
      <c r="C2" s="3417" t="s">
        <v>202</v>
      </c>
      <c r="D2" s="3419" t="s">
        <v>1</v>
      </c>
      <c r="E2" s="3410" t="s">
        <v>1277</v>
      </c>
      <c r="F2" s="3411"/>
      <c r="G2" s="3411"/>
      <c r="H2" s="3412"/>
      <c r="I2" s="3410" t="s">
        <v>1660</v>
      </c>
      <c r="J2" s="3411"/>
      <c r="K2" s="3411"/>
      <c r="L2" s="3412"/>
      <c r="M2" s="3410" t="s">
        <v>1652</v>
      </c>
      <c r="N2" s="3411"/>
      <c r="O2" s="3411"/>
      <c r="P2" s="3412"/>
      <c r="Q2" s="3413" t="s">
        <v>49</v>
      </c>
      <c r="R2" s="2404"/>
      <c r="S2" s="1127"/>
    </row>
    <row r="3" spans="1:21" ht="118.5" customHeight="1">
      <c r="A3" s="3416"/>
      <c r="B3" s="3418"/>
      <c r="C3" s="3418"/>
      <c r="D3" s="3420"/>
      <c r="E3" s="2318" t="s">
        <v>50</v>
      </c>
      <c r="F3" s="2319" t="s">
        <v>162</v>
      </c>
      <c r="G3" s="2320" t="s">
        <v>52</v>
      </c>
      <c r="H3" s="2321" t="s">
        <v>606</v>
      </c>
      <c r="I3" s="2318" t="s">
        <v>50</v>
      </c>
      <c r="J3" s="2319" t="s">
        <v>162</v>
      </c>
      <c r="K3" s="2320" t="s">
        <v>52</v>
      </c>
      <c r="L3" s="2321" t="s">
        <v>606</v>
      </c>
      <c r="M3" s="2318" t="s">
        <v>50</v>
      </c>
      <c r="N3" s="2319" t="s">
        <v>162</v>
      </c>
      <c r="O3" s="2320" t="s">
        <v>52</v>
      </c>
      <c r="P3" s="2321" t="s">
        <v>606</v>
      </c>
      <c r="Q3" s="3414"/>
      <c r="R3" s="2404"/>
      <c r="S3" s="1127"/>
    </row>
    <row r="4" spans="1:21" ht="24" customHeight="1">
      <c r="A4" s="2322"/>
      <c r="B4" s="2323"/>
      <c r="C4" s="2323"/>
      <c r="D4" s="2324"/>
      <c r="E4" s="2325">
        <v>1</v>
      </c>
      <c r="F4" s="2326">
        <v>2</v>
      </c>
      <c r="G4" s="2317">
        <v>3</v>
      </c>
      <c r="H4" s="2327" t="s">
        <v>653</v>
      </c>
      <c r="I4" s="2325">
        <v>5</v>
      </c>
      <c r="J4" s="2326">
        <v>6</v>
      </c>
      <c r="K4" s="2317">
        <v>7</v>
      </c>
      <c r="L4" s="2327" t="s">
        <v>54</v>
      </c>
      <c r="M4" s="2325">
        <v>9</v>
      </c>
      <c r="N4" s="2326">
        <v>10</v>
      </c>
      <c r="O4" s="2317">
        <v>11</v>
      </c>
      <c r="P4" s="2327" t="s">
        <v>1501</v>
      </c>
      <c r="Q4" s="2328">
        <v>13</v>
      </c>
      <c r="R4" s="2405"/>
      <c r="S4" s="1128"/>
    </row>
    <row r="5" spans="1:21">
      <c r="A5" s="2322"/>
      <c r="B5" s="2323"/>
      <c r="C5" s="2323"/>
      <c r="D5" s="2329" t="s">
        <v>827</v>
      </c>
      <c r="E5" s="2325"/>
      <c r="F5" s="2326"/>
      <c r="G5" s="2317"/>
      <c r="H5" s="2327"/>
      <c r="I5" s="2325"/>
      <c r="J5" s="2326"/>
      <c r="K5" s="2317"/>
      <c r="L5" s="2327"/>
      <c r="M5" s="2325"/>
      <c r="N5" s="2326"/>
      <c r="O5" s="2317"/>
      <c r="P5" s="2327"/>
      <c r="Q5" s="2328"/>
      <c r="R5" s="2405"/>
      <c r="S5" s="1128"/>
    </row>
    <row r="6" spans="1:21" s="335" customFormat="1" ht="31.5">
      <c r="A6" s="1194">
        <v>111</v>
      </c>
      <c r="B6" s="887" t="s">
        <v>358</v>
      </c>
      <c r="C6" s="1195"/>
      <c r="D6" s="1507" t="s">
        <v>359</v>
      </c>
      <c r="E6" s="1529">
        <f>SUM(E7,E17,E53,E58,E67,E61)</f>
        <v>6884570</v>
      </c>
      <c r="F6" s="888">
        <f>SUM(F7,F17,F53,F58,F67)</f>
        <v>0</v>
      </c>
      <c r="G6" s="889">
        <f>SUM(G7,G17,G53,G58,G67)</f>
        <v>1500</v>
      </c>
      <c r="H6" s="446">
        <f>SUM(H7,H17,H53,H58,H61:H67)</f>
        <v>6886070</v>
      </c>
      <c r="I6" s="1529">
        <f>SUM(I7+I17+I53+I58+I67)</f>
        <v>7091100</v>
      </c>
      <c r="J6" s="888"/>
      <c r="K6" s="889"/>
      <c r="L6" s="446">
        <f>SUM(L7+L17+L53+L58+L67)</f>
        <v>7080420</v>
      </c>
      <c r="M6" s="1529">
        <f>SUM(M7,M17,M53,M58,M67,M61,M63)</f>
        <v>5815690</v>
      </c>
      <c r="N6" s="888">
        <f>SUM(N7,N17,N53,N58,N67)</f>
        <v>0</v>
      </c>
      <c r="O6" s="889">
        <f>SUM(O7,O17,O53,O58,O67)</f>
        <v>0</v>
      </c>
      <c r="P6" s="446">
        <f>SUM(P7,P17,P53,P58,P61:P67)</f>
        <v>5815690</v>
      </c>
      <c r="Q6" s="1197">
        <f>P6/H6*100</f>
        <v>84.455865246795341</v>
      </c>
      <c r="R6" s="269">
        <f>M6+N6+O6-P6</f>
        <v>0</v>
      </c>
      <c r="S6" s="1129">
        <f>'[1]PRIH REBALANS'!$AK$654</f>
        <v>5815690</v>
      </c>
      <c r="T6" s="339">
        <f>M6+N6+O6-P6</f>
        <v>0</v>
      </c>
      <c r="U6" s="339">
        <f>T6-Q6</f>
        <v>-84.455865246795341</v>
      </c>
    </row>
    <row r="7" spans="1:21" s="335" customFormat="1" ht="31.5">
      <c r="A7" s="1194">
        <v>111</v>
      </c>
      <c r="B7" s="887" t="s">
        <v>360</v>
      </c>
      <c r="C7" s="1195"/>
      <c r="D7" s="1507" t="s">
        <v>787</v>
      </c>
      <c r="E7" s="1529">
        <f>SUM(E8,E15:E16,E14,)</f>
        <v>2447090</v>
      </c>
      <c r="F7" s="888">
        <f>SUM(F8,F15:F16)</f>
        <v>0</v>
      </c>
      <c r="G7" s="889">
        <f>SUM(G8,G15:G16)</f>
        <v>0</v>
      </c>
      <c r="H7" s="446">
        <f>SUM(H8,H15,H16,H14,)</f>
        <v>2447090</v>
      </c>
      <c r="I7" s="1529">
        <f>SUM(I8+I14+I15+I16)</f>
        <v>2566590</v>
      </c>
      <c r="J7" s="888"/>
      <c r="K7" s="889"/>
      <c r="L7" s="446">
        <f>SUM(L8+L14+L15+L16)</f>
        <v>2566590</v>
      </c>
      <c r="M7" s="1529">
        <f>SUM(M8,M15:M16,M14,)</f>
        <v>2397590</v>
      </c>
      <c r="N7" s="888">
        <f>SUM(N8,N15:N16)</f>
        <v>0</v>
      </c>
      <c r="O7" s="889">
        <f>SUM(O8,O15:O16)</f>
        <v>0</v>
      </c>
      <c r="P7" s="446">
        <f>SUM(P8,P15,P16,P14,)</f>
        <v>2397590</v>
      </c>
      <c r="Q7" s="1197">
        <f t="shared" ref="Q7:Q69" si="0">P7/H7*100</f>
        <v>97.977189232925639</v>
      </c>
      <c r="R7" s="269">
        <f t="shared" ref="R7:R70" si="1">M7+N7+O7-P7</f>
        <v>0</v>
      </c>
      <c r="S7" s="1129"/>
      <c r="T7" s="339">
        <f t="shared" ref="T7" si="2">M7+N7+O7-P7</f>
        <v>0</v>
      </c>
      <c r="U7" s="339">
        <f t="shared" ref="U7:U52" si="3">T7-Q7</f>
        <v>-97.977189232925639</v>
      </c>
    </row>
    <row r="8" spans="1:21" s="335" customFormat="1" ht="31.5">
      <c r="A8" s="1198"/>
      <c r="B8" s="1199"/>
      <c r="C8" s="1195">
        <v>614125</v>
      </c>
      <c r="D8" s="1507" t="s">
        <v>775</v>
      </c>
      <c r="E8" s="1529">
        <f>SUM(E9:E13)</f>
        <v>2384090</v>
      </c>
      <c r="F8" s="888">
        <f t="shared" ref="F8:G8" si="4">SUM(F9:F13)</f>
        <v>0</v>
      </c>
      <c r="G8" s="889">
        <f t="shared" si="4"/>
        <v>0</v>
      </c>
      <c r="H8" s="446">
        <f>SUM(H9:H13)</f>
        <v>2384090</v>
      </c>
      <c r="I8" s="1529">
        <f>SUM(I9:I13)</f>
        <v>2481590</v>
      </c>
      <c r="J8" s="888"/>
      <c r="K8" s="889"/>
      <c r="L8" s="446">
        <f>SUM(L9:L13)</f>
        <v>2481590</v>
      </c>
      <c r="M8" s="1529">
        <f>SUM(M9:M13)</f>
        <v>2341590</v>
      </c>
      <c r="N8" s="888">
        <f t="shared" ref="N8:O8" si="5">SUM(N9:N13)</f>
        <v>0</v>
      </c>
      <c r="O8" s="889">
        <f t="shared" si="5"/>
        <v>0</v>
      </c>
      <c r="P8" s="446">
        <f>SUM(P9:P13)</f>
        <v>2341590</v>
      </c>
      <c r="Q8" s="1197">
        <f t="shared" si="0"/>
        <v>98.217349177254206</v>
      </c>
      <c r="R8" s="269">
        <f t="shared" si="1"/>
        <v>0</v>
      </c>
      <c r="S8" s="1129">
        <f>'[1]PRIH REBALANS'!$AK$656</f>
        <v>2341590</v>
      </c>
      <c r="T8" s="339">
        <f>M8-E8</f>
        <v>-42500</v>
      </c>
      <c r="U8" s="339">
        <f t="shared" si="3"/>
        <v>-42598.217349177256</v>
      </c>
    </row>
    <row r="9" spans="1:21" s="335" customFormat="1">
      <c r="A9" s="1198"/>
      <c r="B9" s="1199"/>
      <c r="C9" s="1200"/>
      <c r="D9" s="1285" t="s">
        <v>361</v>
      </c>
      <c r="E9" s="1530">
        <v>959210</v>
      </c>
      <c r="F9" s="892"/>
      <c r="G9" s="893"/>
      <c r="H9" s="679">
        <f t="shared" ref="H9:H13" si="6">SUM(E9:G9)</f>
        <v>959210</v>
      </c>
      <c r="I9" s="1530">
        <v>997210</v>
      </c>
      <c r="J9" s="892"/>
      <c r="K9" s="893"/>
      <c r="L9" s="1520">
        <v>997210</v>
      </c>
      <c r="M9" s="2075">
        <v>949210</v>
      </c>
      <c r="N9" s="892"/>
      <c r="O9" s="893"/>
      <c r="P9" s="679">
        <f>SUM(M9:O9)</f>
        <v>949210</v>
      </c>
      <c r="Q9" s="1197">
        <f t="shared" si="0"/>
        <v>98.957475422483085</v>
      </c>
      <c r="R9" s="269">
        <f t="shared" si="1"/>
        <v>0</v>
      </c>
      <c r="S9" s="1130"/>
      <c r="T9" s="339">
        <f t="shared" ref="T9:T70" si="7">M9-E9</f>
        <v>-10000</v>
      </c>
      <c r="U9" s="339">
        <f t="shared" si="3"/>
        <v>-10098.957475422483</v>
      </c>
    </row>
    <row r="10" spans="1:21" s="335" customFormat="1">
      <c r="A10" s="1198"/>
      <c r="B10" s="1199"/>
      <c r="C10" s="1200"/>
      <c r="D10" s="1285" t="s">
        <v>362</v>
      </c>
      <c r="E10" s="1530">
        <v>1282910</v>
      </c>
      <c r="F10" s="892"/>
      <c r="G10" s="893"/>
      <c r="H10" s="679">
        <f t="shared" si="6"/>
        <v>1282910</v>
      </c>
      <c r="I10" s="1530">
        <v>1332410</v>
      </c>
      <c r="J10" s="892"/>
      <c r="K10" s="893"/>
      <c r="L10" s="1520">
        <v>1332410</v>
      </c>
      <c r="M10" s="2076">
        <v>1260410</v>
      </c>
      <c r="N10" s="892"/>
      <c r="O10" s="893"/>
      <c r="P10" s="679">
        <f t="shared" ref="P10:P16" si="8">SUM(M10:O10)</f>
        <v>1260410</v>
      </c>
      <c r="Q10" s="1197">
        <f t="shared" si="0"/>
        <v>98.246174712177776</v>
      </c>
      <c r="R10" s="269">
        <f t="shared" si="1"/>
        <v>0</v>
      </c>
      <c r="S10" s="1130"/>
      <c r="T10" s="339">
        <f t="shared" si="7"/>
        <v>-22500</v>
      </c>
      <c r="U10" s="339">
        <f t="shared" si="3"/>
        <v>-22598.246174712178</v>
      </c>
    </row>
    <row r="11" spans="1:21" s="335" customFormat="1">
      <c r="A11" s="1198"/>
      <c r="B11" s="1199"/>
      <c r="C11" s="1200"/>
      <c r="D11" s="1285" t="s">
        <v>363</v>
      </c>
      <c r="E11" s="1530">
        <v>93870</v>
      </c>
      <c r="F11" s="892"/>
      <c r="G11" s="893"/>
      <c r="H11" s="679">
        <f t="shared" si="6"/>
        <v>93870</v>
      </c>
      <c r="I11" s="1530">
        <v>93870</v>
      </c>
      <c r="J11" s="892"/>
      <c r="K11" s="893"/>
      <c r="L11" s="1520">
        <v>93870</v>
      </c>
      <c r="M11" s="2075">
        <v>93870</v>
      </c>
      <c r="N11" s="892"/>
      <c r="O11" s="893"/>
      <c r="P11" s="679">
        <f t="shared" si="8"/>
        <v>93870</v>
      </c>
      <c r="Q11" s="1197">
        <f t="shared" si="0"/>
        <v>100</v>
      </c>
      <c r="R11" s="269">
        <f t="shared" si="1"/>
        <v>0</v>
      </c>
      <c r="S11" s="1130"/>
      <c r="T11" s="339">
        <f t="shared" si="7"/>
        <v>0</v>
      </c>
      <c r="U11" s="339">
        <f t="shared" si="3"/>
        <v>-100</v>
      </c>
    </row>
    <row r="12" spans="1:21" s="335" customFormat="1" ht="31.5">
      <c r="A12" s="1198"/>
      <c r="B12" s="1199"/>
      <c r="C12" s="1200"/>
      <c r="D12" s="1285" t="s">
        <v>364</v>
      </c>
      <c r="E12" s="1530">
        <v>28100</v>
      </c>
      <c r="F12" s="892"/>
      <c r="G12" s="893"/>
      <c r="H12" s="679">
        <f t="shared" si="6"/>
        <v>28100</v>
      </c>
      <c r="I12" s="1530">
        <v>38100</v>
      </c>
      <c r="J12" s="892"/>
      <c r="K12" s="893"/>
      <c r="L12" s="1520">
        <v>38100</v>
      </c>
      <c r="M12" s="2075">
        <v>18100</v>
      </c>
      <c r="N12" s="892"/>
      <c r="O12" s="893"/>
      <c r="P12" s="679">
        <f t="shared" si="8"/>
        <v>18100</v>
      </c>
      <c r="Q12" s="1197">
        <f t="shared" si="0"/>
        <v>64.412811387900362</v>
      </c>
      <c r="R12" s="269">
        <f t="shared" si="1"/>
        <v>0</v>
      </c>
      <c r="S12" s="1130"/>
      <c r="T12" s="339">
        <f t="shared" si="7"/>
        <v>-10000</v>
      </c>
      <c r="U12" s="339">
        <f t="shared" si="3"/>
        <v>-10064.4128113879</v>
      </c>
    </row>
    <row r="13" spans="1:21" s="335" customFormat="1">
      <c r="A13" s="1198"/>
      <c r="B13" s="1199"/>
      <c r="C13" s="1200"/>
      <c r="D13" s="1285" t="s">
        <v>365</v>
      </c>
      <c r="E13" s="1531">
        <v>20000</v>
      </c>
      <c r="F13" s="892"/>
      <c r="G13" s="893"/>
      <c r="H13" s="679">
        <f t="shared" si="6"/>
        <v>20000</v>
      </c>
      <c r="I13" s="1531">
        <v>20000</v>
      </c>
      <c r="J13" s="892"/>
      <c r="K13" s="893"/>
      <c r="L13" s="1521">
        <v>20000</v>
      </c>
      <c r="M13" s="1531">
        <v>20000</v>
      </c>
      <c r="N13" s="892"/>
      <c r="O13" s="893"/>
      <c r="P13" s="679">
        <f t="shared" si="8"/>
        <v>20000</v>
      </c>
      <c r="Q13" s="1197">
        <f t="shared" si="0"/>
        <v>100</v>
      </c>
      <c r="R13" s="269">
        <f t="shared" si="1"/>
        <v>0</v>
      </c>
      <c r="S13" s="1130"/>
      <c r="T13" s="339">
        <f t="shared" si="7"/>
        <v>0</v>
      </c>
      <c r="U13" s="339">
        <f t="shared" si="3"/>
        <v>-100</v>
      </c>
    </row>
    <row r="14" spans="1:21" s="335" customFormat="1" ht="31.5">
      <c r="A14" s="1198"/>
      <c r="B14" s="887" t="s">
        <v>360</v>
      </c>
      <c r="C14" s="1195" t="s">
        <v>366</v>
      </c>
      <c r="D14" s="1513" t="s">
        <v>367</v>
      </c>
      <c r="E14" s="1532">
        <v>5000</v>
      </c>
      <c r="F14" s="888"/>
      <c r="G14" s="889"/>
      <c r="H14" s="446">
        <v>5000</v>
      </c>
      <c r="I14" s="1532">
        <v>5000</v>
      </c>
      <c r="J14" s="888"/>
      <c r="K14" s="889"/>
      <c r="L14" s="446">
        <v>5000</v>
      </c>
      <c r="M14" s="1532">
        <v>5000</v>
      </c>
      <c r="N14" s="888"/>
      <c r="O14" s="889"/>
      <c r="P14" s="1518">
        <f t="shared" si="8"/>
        <v>5000</v>
      </c>
      <c r="Q14" s="1197">
        <f t="shared" si="0"/>
        <v>100</v>
      </c>
      <c r="R14" s="269">
        <f t="shared" si="1"/>
        <v>0</v>
      </c>
      <c r="S14" s="1129"/>
      <c r="T14" s="339">
        <f t="shared" si="7"/>
        <v>0</v>
      </c>
      <c r="U14" s="339">
        <f t="shared" si="3"/>
        <v>-100</v>
      </c>
    </row>
    <row r="15" spans="1:21" s="335" customFormat="1" ht="47.25">
      <c r="A15" s="1194">
        <v>111</v>
      </c>
      <c r="B15" s="887" t="s">
        <v>360</v>
      </c>
      <c r="C15" s="1195">
        <v>615221</v>
      </c>
      <c r="D15" s="1507" t="s">
        <v>368</v>
      </c>
      <c r="E15" s="1533">
        <v>40000</v>
      </c>
      <c r="F15" s="892"/>
      <c r="G15" s="893"/>
      <c r="H15" s="446">
        <v>40000</v>
      </c>
      <c r="I15" s="1546">
        <v>60000</v>
      </c>
      <c r="J15" s="892"/>
      <c r="K15" s="893"/>
      <c r="L15" s="446">
        <v>60000</v>
      </c>
      <c r="M15" s="1546">
        <v>40000</v>
      </c>
      <c r="N15" s="892"/>
      <c r="O15" s="893"/>
      <c r="P15" s="1518">
        <f t="shared" si="8"/>
        <v>40000</v>
      </c>
      <c r="Q15" s="1197">
        <f t="shared" si="0"/>
        <v>100</v>
      </c>
      <c r="R15" s="269">
        <f t="shared" si="1"/>
        <v>0</v>
      </c>
      <c r="S15" s="1129"/>
      <c r="T15" s="339">
        <f t="shared" si="7"/>
        <v>0</v>
      </c>
      <c r="U15" s="339">
        <f t="shared" si="3"/>
        <v>-100</v>
      </c>
    </row>
    <row r="16" spans="1:21" s="335" customFormat="1" ht="31.5">
      <c r="A16" s="1194">
        <v>111</v>
      </c>
      <c r="B16" s="887" t="s">
        <v>360</v>
      </c>
      <c r="C16" s="1195">
        <v>614125</v>
      </c>
      <c r="D16" s="1507" t="s">
        <v>369</v>
      </c>
      <c r="E16" s="1532">
        <v>18000</v>
      </c>
      <c r="F16" s="892"/>
      <c r="G16" s="893"/>
      <c r="H16" s="446">
        <v>18000</v>
      </c>
      <c r="I16" s="1532">
        <v>20000</v>
      </c>
      <c r="J16" s="892"/>
      <c r="K16" s="893"/>
      <c r="L16" s="446">
        <v>20000</v>
      </c>
      <c r="M16" s="1532">
        <v>11000</v>
      </c>
      <c r="N16" s="892"/>
      <c r="O16" s="893"/>
      <c r="P16" s="1518">
        <f t="shared" si="8"/>
        <v>11000</v>
      </c>
      <c r="Q16" s="1197">
        <f t="shared" si="0"/>
        <v>61.111111111111114</v>
      </c>
      <c r="R16" s="269">
        <f t="shared" si="1"/>
        <v>0</v>
      </c>
      <c r="S16" s="1129"/>
      <c r="T16" s="339">
        <f t="shared" si="7"/>
        <v>-7000</v>
      </c>
      <c r="U16" s="339">
        <f t="shared" si="3"/>
        <v>-7061.1111111111113</v>
      </c>
    </row>
    <row r="17" spans="1:21" s="335" customFormat="1">
      <c r="A17" s="1194">
        <v>111</v>
      </c>
      <c r="B17" s="887" t="s">
        <v>370</v>
      </c>
      <c r="C17" s="1195">
        <v>614125</v>
      </c>
      <c r="D17" s="1507" t="s">
        <v>759</v>
      </c>
      <c r="E17" s="1529">
        <f>SUM(E18,E45:E51,E52,E44)</f>
        <v>3212480</v>
      </c>
      <c r="F17" s="888">
        <f t="shared" ref="F17:G17" si="9">SUM(F18,F45:F51,F52,F44)</f>
        <v>0</v>
      </c>
      <c r="G17" s="889">
        <f t="shared" si="9"/>
        <v>0</v>
      </c>
      <c r="H17" s="446">
        <f>SUM(H18,H45:H52,H44)</f>
        <v>3212480</v>
      </c>
      <c r="I17" s="1529">
        <f>SUM(I18+I44+I45+I46+I47+I48+I49+I51)</f>
        <v>3084010</v>
      </c>
      <c r="J17" s="888"/>
      <c r="K17" s="889"/>
      <c r="L17" s="446">
        <f>SUM(L18+L44+L45+L46+L47+L48+L49+L51)</f>
        <v>3073330</v>
      </c>
      <c r="M17" s="1529">
        <f>SUM(M18,M45:M51,M52,M44)</f>
        <v>2353100</v>
      </c>
      <c r="N17" s="888">
        <f t="shared" ref="N17:O17" si="10">SUM(N18,N45:N51,N52,N44)</f>
        <v>0</v>
      </c>
      <c r="O17" s="889">
        <f t="shared" si="10"/>
        <v>0</v>
      </c>
      <c r="P17" s="446">
        <f>SUM(P18,P45:P52,P44)</f>
        <v>2353100</v>
      </c>
      <c r="Q17" s="1197">
        <f t="shared" si="0"/>
        <v>73.248705050303826</v>
      </c>
      <c r="R17" s="269">
        <f t="shared" si="1"/>
        <v>0</v>
      </c>
      <c r="S17" s="1129">
        <f>'[1]PRIH REBALANS'!$AK$666</f>
        <v>966790</v>
      </c>
      <c r="T17" s="339">
        <f t="shared" si="7"/>
        <v>-859380</v>
      </c>
      <c r="U17" s="339">
        <f t="shared" si="3"/>
        <v>-859453.24870505033</v>
      </c>
    </row>
    <row r="18" spans="1:21" s="335" customFormat="1">
      <c r="A18" s="1194">
        <v>111</v>
      </c>
      <c r="B18" s="887" t="s">
        <v>370</v>
      </c>
      <c r="C18" s="1195"/>
      <c r="D18" s="1507" t="s">
        <v>169</v>
      </c>
      <c r="E18" s="1529">
        <f>SUM(E19:E42)</f>
        <v>960050</v>
      </c>
      <c r="F18" s="888">
        <f t="shared" ref="F18:G18" si="11">SUM(F19:F42)</f>
        <v>0</v>
      </c>
      <c r="G18" s="889">
        <f t="shared" si="11"/>
        <v>0</v>
      </c>
      <c r="H18" s="446">
        <f>SUM(H19:H42)</f>
        <v>960050</v>
      </c>
      <c r="I18" s="1529">
        <f>SUM(I19:I42)</f>
        <v>978690</v>
      </c>
      <c r="J18" s="888"/>
      <c r="K18" s="889"/>
      <c r="L18" s="446">
        <f>SUM(L19:L42)</f>
        <v>968010</v>
      </c>
      <c r="M18" s="1529">
        <f>SUM(M19:M42)</f>
        <v>966790</v>
      </c>
      <c r="N18" s="888">
        <f t="shared" ref="N18:O18" si="12">SUM(N19:N42)</f>
        <v>0</v>
      </c>
      <c r="O18" s="889">
        <f t="shared" si="12"/>
        <v>0</v>
      </c>
      <c r="P18" s="446">
        <f>SUM(P19:P42)</f>
        <v>966790</v>
      </c>
      <c r="Q18" s="1197">
        <f t="shared" si="0"/>
        <v>100.70204676839747</v>
      </c>
      <c r="R18" s="269">
        <f t="shared" si="1"/>
        <v>0</v>
      </c>
      <c r="S18" s="1129"/>
      <c r="T18" s="339">
        <f t="shared" si="7"/>
        <v>6740</v>
      </c>
      <c r="U18" s="339">
        <f t="shared" si="3"/>
        <v>6639.2979532316022</v>
      </c>
    </row>
    <row r="19" spans="1:21" s="335" customFormat="1">
      <c r="A19" s="1198"/>
      <c r="B19" s="1199"/>
      <c r="C19" s="1200"/>
      <c r="D19" s="1285" t="s">
        <v>371</v>
      </c>
      <c r="E19" s="1534">
        <v>66810</v>
      </c>
      <c r="F19" s="892"/>
      <c r="G19" s="893"/>
      <c r="H19" s="679">
        <f t="shared" ref="H19:H52" si="13">SUM(E19:G19)</f>
        <v>66810</v>
      </c>
      <c r="I19" s="2073">
        <v>70490</v>
      </c>
      <c r="J19" s="892"/>
      <c r="K19" s="893"/>
      <c r="L19" s="679">
        <v>67450</v>
      </c>
      <c r="M19" s="2073">
        <v>70490</v>
      </c>
      <c r="N19" s="892"/>
      <c r="O19" s="893"/>
      <c r="P19" s="679">
        <f>SUM(M19:O19)</f>
        <v>70490</v>
      </c>
      <c r="Q19" s="1197">
        <f t="shared" si="0"/>
        <v>105.50815746145787</v>
      </c>
      <c r="R19" s="269">
        <f t="shared" si="1"/>
        <v>0</v>
      </c>
      <c r="S19" s="1130">
        <f>M19-I19</f>
        <v>0</v>
      </c>
      <c r="T19" s="339">
        <f t="shared" si="7"/>
        <v>3680</v>
      </c>
      <c r="U19" s="339">
        <f t="shared" si="3"/>
        <v>3574.4918425385422</v>
      </c>
    </row>
    <row r="20" spans="1:21" s="335" customFormat="1">
      <c r="A20" s="1198"/>
      <c r="B20" s="1199"/>
      <c r="C20" s="1200"/>
      <c r="D20" s="1285" t="s">
        <v>372</v>
      </c>
      <c r="E20" s="1534">
        <v>50940</v>
      </c>
      <c r="F20" s="892"/>
      <c r="G20" s="893"/>
      <c r="H20" s="679">
        <f t="shared" si="13"/>
        <v>50940</v>
      </c>
      <c r="I20" s="1534">
        <v>51980</v>
      </c>
      <c r="J20" s="892"/>
      <c r="K20" s="893"/>
      <c r="L20" s="679">
        <v>51980</v>
      </c>
      <c r="M20" s="2073">
        <v>51090</v>
      </c>
      <c r="N20" s="892"/>
      <c r="O20" s="893"/>
      <c r="P20" s="679">
        <f t="shared" ref="P20:P42" si="14">SUM(M20:O20)</f>
        <v>51090</v>
      </c>
      <c r="Q20" s="1197">
        <f t="shared" si="0"/>
        <v>100.29446407538281</v>
      </c>
      <c r="R20" s="269">
        <f t="shared" si="1"/>
        <v>0</v>
      </c>
      <c r="S20" s="1130">
        <f t="shared" ref="S20:S42" si="15">M20-I20</f>
        <v>-890</v>
      </c>
      <c r="T20" s="339">
        <f t="shared" si="7"/>
        <v>150</v>
      </c>
      <c r="U20" s="339">
        <f t="shared" si="3"/>
        <v>49.705535924617195</v>
      </c>
    </row>
    <row r="21" spans="1:21" s="335" customFormat="1">
      <c r="A21" s="1198"/>
      <c r="B21" s="1199"/>
      <c r="C21" s="1200"/>
      <c r="D21" s="1285" t="s">
        <v>373</v>
      </c>
      <c r="E21" s="1534">
        <v>30470</v>
      </c>
      <c r="F21" s="892"/>
      <c r="G21" s="893"/>
      <c r="H21" s="679">
        <f t="shared" si="13"/>
        <v>30470</v>
      </c>
      <c r="I21" s="1534">
        <v>30520</v>
      </c>
      <c r="J21" s="892"/>
      <c r="K21" s="893"/>
      <c r="L21" s="679">
        <v>30520</v>
      </c>
      <c r="M21" s="2073">
        <v>30050</v>
      </c>
      <c r="N21" s="892"/>
      <c r="O21" s="893"/>
      <c r="P21" s="679">
        <f t="shared" si="14"/>
        <v>30050</v>
      </c>
      <c r="Q21" s="1197">
        <f t="shared" si="0"/>
        <v>98.621595011486704</v>
      </c>
      <c r="R21" s="269">
        <f t="shared" si="1"/>
        <v>0</v>
      </c>
      <c r="S21" s="1130">
        <f t="shared" si="15"/>
        <v>-470</v>
      </c>
      <c r="T21" s="339">
        <f t="shared" si="7"/>
        <v>-420</v>
      </c>
      <c r="U21" s="339">
        <f t="shared" si="3"/>
        <v>-518.62159501148676</v>
      </c>
    </row>
    <row r="22" spans="1:21" s="335" customFormat="1">
      <c r="A22" s="1198"/>
      <c r="B22" s="1199"/>
      <c r="C22" s="1200"/>
      <c r="D22" s="1285" t="s">
        <v>374</v>
      </c>
      <c r="E22" s="1534">
        <v>32950</v>
      </c>
      <c r="F22" s="892"/>
      <c r="G22" s="893"/>
      <c r="H22" s="679">
        <f t="shared" si="13"/>
        <v>32950</v>
      </c>
      <c r="I22" s="1534">
        <v>34110</v>
      </c>
      <c r="J22" s="892"/>
      <c r="K22" s="893"/>
      <c r="L22" s="679">
        <v>34110</v>
      </c>
      <c r="M22" s="2073">
        <v>33260</v>
      </c>
      <c r="N22" s="892"/>
      <c r="O22" s="893"/>
      <c r="P22" s="679">
        <f t="shared" si="14"/>
        <v>33260</v>
      </c>
      <c r="Q22" s="1197">
        <f t="shared" si="0"/>
        <v>100.94081942336874</v>
      </c>
      <c r="R22" s="269">
        <f t="shared" si="1"/>
        <v>0</v>
      </c>
      <c r="S22" s="1130">
        <f t="shared" si="15"/>
        <v>-850</v>
      </c>
      <c r="T22" s="339">
        <f t="shared" si="7"/>
        <v>310</v>
      </c>
      <c r="U22" s="339">
        <f t="shared" si="3"/>
        <v>209.05918057663126</v>
      </c>
    </row>
    <row r="23" spans="1:21" s="335" customFormat="1">
      <c r="A23" s="1198"/>
      <c r="B23" s="1199"/>
      <c r="C23" s="1200"/>
      <c r="D23" s="1285" t="s">
        <v>375</v>
      </c>
      <c r="E23" s="1534">
        <v>46760</v>
      </c>
      <c r="F23" s="892"/>
      <c r="G23" s="893"/>
      <c r="H23" s="679">
        <f t="shared" si="13"/>
        <v>46760</v>
      </c>
      <c r="I23" s="1534">
        <v>49650</v>
      </c>
      <c r="J23" s="892"/>
      <c r="K23" s="893"/>
      <c r="L23" s="679">
        <v>49650</v>
      </c>
      <c r="M23" s="2073">
        <v>48650</v>
      </c>
      <c r="N23" s="892"/>
      <c r="O23" s="893"/>
      <c r="P23" s="679">
        <f t="shared" si="14"/>
        <v>48650</v>
      </c>
      <c r="Q23" s="1197">
        <f t="shared" si="0"/>
        <v>104.04191616766467</v>
      </c>
      <c r="R23" s="269">
        <f t="shared" si="1"/>
        <v>0</v>
      </c>
      <c r="S23" s="1130">
        <f t="shared" si="15"/>
        <v>-1000</v>
      </c>
      <c r="T23" s="339">
        <f t="shared" si="7"/>
        <v>1890</v>
      </c>
      <c r="U23" s="339">
        <f t="shared" si="3"/>
        <v>1785.9580838323354</v>
      </c>
    </row>
    <row r="24" spans="1:21" s="335" customFormat="1" ht="31.5">
      <c r="A24" s="1198"/>
      <c r="B24" s="1199"/>
      <c r="C24" s="1200"/>
      <c r="D24" s="1285" t="s">
        <v>376</v>
      </c>
      <c r="E24" s="1534">
        <v>24690</v>
      </c>
      <c r="F24" s="892"/>
      <c r="G24" s="893"/>
      <c r="H24" s="679">
        <f t="shared" si="13"/>
        <v>24690</v>
      </c>
      <c r="I24" s="1534">
        <v>24690</v>
      </c>
      <c r="J24" s="892"/>
      <c r="K24" s="893"/>
      <c r="L24" s="679">
        <v>24690</v>
      </c>
      <c r="M24" s="2073">
        <v>23200</v>
      </c>
      <c r="N24" s="892"/>
      <c r="O24" s="893"/>
      <c r="P24" s="679">
        <f t="shared" si="14"/>
        <v>23200</v>
      </c>
      <c r="Q24" s="1197">
        <f t="shared" si="0"/>
        <v>93.965168084244638</v>
      </c>
      <c r="R24" s="269">
        <f t="shared" si="1"/>
        <v>0</v>
      </c>
      <c r="S24" s="1130">
        <f t="shared" si="15"/>
        <v>-1490</v>
      </c>
      <c r="T24" s="339">
        <f t="shared" si="7"/>
        <v>-1490</v>
      </c>
      <c r="U24" s="339">
        <f t="shared" si="3"/>
        <v>-1583.9651680842446</v>
      </c>
    </row>
    <row r="25" spans="1:21" s="335" customFormat="1">
      <c r="A25" s="1198"/>
      <c r="B25" s="1199"/>
      <c r="C25" s="1200"/>
      <c r="D25" s="1285" t="s">
        <v>377</v>
      </c>
      <c r="E25" s="1534">
        <v>55060</v>
      </c>
      <c r="F25" s="892"/>
      <c r="G25" s="893"/>
      <c r="H25" s="679">
        <f t="shared" si="13"/>
        <v>55060</v>
      </c>
      <c r="I25" s="1534">
        <v>51550</v>
      </c>
      <c r="J25" s="892"/>
      <c r="K25" s="893"/>
      <c r="L25" s="679">
        <v>51550</v>
      </c>
      <c r="M25" s="2073">
        <v>55060</v>
      </c>
      <c r="N25" s="892"/>
      <c r="O25" s="893"/>
      <c r="P25" s="679">
        <f t="shared" si="14"/>
        <v>55060</v>
      </c>
      <c r="Q25" s="1197">
        <f t="shared" si="0"/>
        <v>100</v>
      </c>
      <c r="R25" s="269">
        <f t="shared" si="1"/>
        <v>0</v>
      </c>
      <c r="S25" s="1130">
        <f t="shared" si="15"/>
        <v>3510</v>
      </c>
      <c r="T25" s="339">
        <f t="shared" si="7"/>
        <v>0</v>
      </c>
      <c r="U25" s="339">
        <f t="shared" si="3"/>
        <v>-100</v>
      </c>
    </row>
    <row r="26" spans="1:21" s="335" customFormat="1">
      <c r="A26" s="1198"/>
      <c r="B26" s="1199"/>
      <c r="C26" s="1200"/>
      <c r="D26" s="1285" t="s">
        <v>378</v>
      </c>
      <c r="E26" s="1534">
        <v>48390</v>
      </c>
      <c r="F26" s="892"/>
      <c r="G26" s="893"/>
      <c r="H26" s="679">
        <f t="shared" si="13"/>
        <v>48390</v>
      </c>
      <c r="I26" s="1534">
        <v>49760</v>
      </c>
      <c r="J26" s="892"/>
      <c r="K26" s="893"/>
      <c r="L26" s="679">
        <v>49760</v>
      </c>
      <c r="M26" s="2073">
        <v>49010</v>
      </c>
      <c r="N26" s="892"/>
      <c r="O26" s="893"/>
      <c r="P26" s="679">
        <f t="shared" si="14"/>
        <v>49010</v>
      </c>
      <c r="Q26" s="1197">
        <f t="shared" si="0"/>
        <v>101.28125645794586</v>
      </c>
      <c r="R26" s="269">
        <f t="shared" si="1"/>
        <v>0</v>
      </c>
      <c r="S26" s="1130">
        <f t="shared" si="15"/>
        <v>-750</v>
      </c>
      <c r="T26" s="339">
        <f t="shared" si="7"/>
        <v>620</v>
      </c>
      <c r="U26" s="339">
        <f t="shared" si="3"/>
        <v>518.7187435420542</v>
      </c>
    </row>
    <row r="27" spans="1:21" s="335" customFormat="1">
      <c r="A27" s="1198"/>
      <c r="B27" s="1199"/>
      <c r="C27" s="1200"/>
      <c r="D27" s="1285" t="s">
        <v>379</v>
      </c>
      <c r="E27" s="1534">
        <v>21600</v>
      </c>
      <c r="F27" s="892"/>
      <c r="G27" s="893"/>
      <c r="H27" s="679">
        <f t="shared" si="13"/>
        <v>21600</v>
      </c>
      <c r="I27" s="2073">
        <v>23200</v>
      </c>
      <c r="J27" s="892"/>
      <c r="K27" s="893"/>
      <c r="L27" s="679">
        <v>21600</v>
      </c>
      <c r="M27" s="2073">
        <v>23200</v>
      </c>
      <c r="N27" s="892"/>
      <c r="O27" s="893"/>
      <c r="P27" s="679">
        <f t="shared" si="14"/>
        <v>23200</v>
      </c>
      <c r="Q27" s="1197">
        <f t="shared" si="0"/>
        <v>107.40740740740742</v>
      </c>
      <c r="R27" s="269">
        <f t="shared" si="1"/>
        <v>0</v>
      </c>
      <c r="S27" s="1130">
        <f t="shared" si="15"/>
        <v>0</v>
      </c>
      <c r="T27" s="339">
        <f t="shared" si="7"/>
        <v>1600</v>
      </c>
      <c r="U27" s="339">
        <f t="shared" si="3"/>
        <v>1492.5925925925926</v>
      </c>
    </row>
    <row r="28" spans="1:21" s="335" customFormat="1">
      <c r="A28" s="1198"/>
      <c r="B28" s="1199"/>
      <c r="C28" s="1200"/>
      <c r="D28" s="1285" t="s">
        <v>380</v>
      </c>
      <c r="E28" s="1534">
        <v>24250</v>
      </c>
      <c r="F28" s="892"/>
      <c r="G28" s="893"/>
      <c r="H28" s="679">
        <f t="shared" si="13"/>
        <v>24250</v>
      </c>
      <c r="I28" s="1534">
        <v>24250</v>
      </c>
      <c r="J28" s="892"/>
      <c r="K28" s="893"/>
      <c r="L28" s="679">
        <v>24250</v>
      </c>
      <c r="M28" s="2073">
        <v>24000</v>
      </c>
      <c r="N28" s="892"/>
      <c r="O28" s="893"/>
      <c r="P28" s="679">
        <f t="shared" si="14"/>
        <v>24000</v>
      </c>
      <c r="Q28" s="1197">
        <f t="shared" si="0"/>
        <v>98.969072164948457</v>
      </c>
      <c r="R28" s="269">
        <f t="shared" si="1"/>
        <v>0</v>
      </c>
      <c r="S28" s="1130">
        <f t="shared" si="15"/>
        <v>-250</v>
      </c>
      <c r="T28" s="339">
        <f t="shared" si="7"/>
        <v>-250</v>
      </c>
      <c r="U28" s="339">
        <f t="shared" si="3"/>
        <v>-348.96907216494844</v>
      </c>
    </row>
    <row r="29" spans="1:21" s="335" customFormat="1">
      <c r="A29" s="1198"/>
      <c r="B29" s="1199"/>
      <c r="C29" s="1200"/>
      <c r="D29" s="1285" t="s">
        <v>381</v>
      </c>
      <c r="E29" s="1534">
        <v>46160</v>
      </c>
      <c r="F29" s="892"/>
      <c r="G29" s="893"/>
      <c r="H29" s="679">
        <f t="shared" si="13"/>
        <v>46160</v>
      </c>
      <c r="I29" s="1534">
        <v>47180</v>
      </c>
      <c r="J29" s="892"/>
      <c r="K29" s="893"/>
      <c r="L29" s="679">
        <v>47180</v>
      </c>
      <c r="M29" s="2073">
        <v>44830</v>
      </c>
      <c r="N29" s="892"/>
      <c r="O29" s="893"/>
      <c r="P29" s="679">
        <f t="shared" si="14"/>
        <v>44830</v>
      </c>
      <c r="Q29" s="1197">
        <f t="shared" si="0"/>
        <v>97.11871750433275</v>
      </c>
      <c r="R29" s="269">
        <f t="shared" si="1"/>
        <v>0</v>
      </c>
      <c r="S29" s="1130">
        <f t="shared" si="15"/>
        <v>-2350</v>
      </c>
      <c r="T29" s="339">
        <f t="shared" si="7"/>
        <v>-1330</v>
      </c>
      <c r="U29" s="339">
        <f t="shared" si="3"/>
        <v>-1427.1187175043328</v>
      </c>
    </row>
    <row r="30" spans="1:21" s="335" customFormat="1">
      <c r="A30" s="1198"/>
      <c r="B30" s="1199"/>
      <c r="C30" s="1200"/>
      <c r="D30" s="1514" t="s">
        <v>382</v>
      </c>
      <c r="E30" s="1534">
        <v>31360</v>
      </c>
      <c r="F30" s="892"/>
      <c r="G30" s="893"/>
      <c r="H30" s="679">
        <f t="shared" si="13"/>
        <v>31360</v>
      </c>
      <c r="I30" s="2073">
        <v>33700</v>
      </c>
      <c r="J30" s="892"/>
      <c r="K30" s="893"/>
      <c r="L30" s="679">
        <v>31520</v>
      </c>
      <c r="M30" s="2073">
        <v>33700</v>
      </c>
      <c r="N30" s="892"/>
      <c r="O30" s="893"/>
      <c r="P30" s="679">
        <f t="shared" si="14"/>
        <v>33700</v>
      </c>
      <c r="Q30" s="1197">
        <f t="shared" si="0"/>
        <v>107.46173469387755</v>
      </c>
      <c r="R30" s="269">
        <f t="shared" si="1"/>
        <v>0</v>
      </c>
      <c r="S30" s="1130">
        <f t="shared" si="15"/>
        <v>0</v>
      </c>
      <c r="T30" s="339">
        <f t="shared" si="7"/>
        <v>2340</v>
      </c>
      <c r="U30" s="339">
        <f t="shared" si="3"/>
        <v>2232.5382653061224</v>
      </c>
    </row>
    <row r="31" spans="1:21" s="335" customFormat="1">
      <c r="A31" s="1198"/>
      <c r="B31" s="1199"/>
      <c r="C31" s="1200"/>
      <c r="D31" s="1285" t="s">
        <v>383</v>
      </c>
      <c r="E31" s="1534">
        <v>58930</v>
      </c>
      <c r="F31" s="892"/>
      <c r="G31" s="893"/>
      <c r="H31" s="679">
        <f t="shared" si="13"/>
        <v>58930</v>
      </c>
      <c r="I31" s="1534">
        <v>59800</v>
      </c>
      <c r="J31" s="892"/>
      <c r="K31" s="893"/>
      <c r="L31" s="679">
        <v>59800</v>
      </c>
      <c r="M31" s="2073">
        <v>58770</v>
      </c>
      <c r="N31" s="892"/>
      <c r="O31" s="893"/>
      <c r="P31" s="679">
        <f t="shared" si="14"/>
        <v>58770</v>
      </c>
      <c r="Q31" s="1197">
        <f t="shared" si="0"/>
        <v>99.728491430510786</v>
      </c>
      <c r="R31" s="269">
        <f t="shared" si="1"/>
        <v>0</v>
      </c>
      <c r="S31" s="1130">
        <f t="shared" si="15"/>
        <v>-1030</v>
      </c>
      <c r="T31" s="339">
        <f t="shared" si="7"/>
        <v>-160</v>
      </c>
      <c r="U31" s="339">
        <f t="shared" si="3"/>
        <v>-259.72849143051076</v>
      </c>
    </row>
    <row r="32" spans="1:21" s="335" customFormat="1" ht="31.5">
      <c r="A32" s="1198"/>
      <c r="B32" s="1199"/>
      <c r="C32" s="1200"/>
      <c r="D32" s="1285" t="s">
        <v>384</v>
      </c>
      <c r="E32" s="1534">
        <v>13450</v>
      </c>
      <c r="F32" s="892"/>
      <c r="G32" s="893"/>
      <c r="H32" s="679">
        <f t="shared" si="13"/>
        <v>13450</v>
      </c>
      <c r="I32" s="1534">
        <v>13450</v>
      </c>
      <c r="J32" s="892"/>
      <c r="K32" s="893"/>
      <c r="L32" s="679">
        <v>13450</v>
      </c>
      <c r="M32" s="2073">
        <v>13200</v>
      </c>
      <c r="N32" s="892"/>
      <c r="O32" s="893"/>
      <c r="P32" s="679">
        <f t="shared" si="14"/>
        <v>13200</v>
      </c>
      <c r="Q32" s="1197">
        <f t="shared" si="0"/>
        <v>98.141263940520446</v>
      </c>
      <c r="R32" s="269">
        <f t="shared" si="1"/>
        <v>0</v>
      </c>
      <c r="S32" s="1130">
        <f t="shared" si="15"/>
        <v>-250</v>
      </c>
      <c r="T32" s="339">
        <f t="shared" si="7"/>
        <v>-250</v>
      </c>
      <c r="U32" s="339">
        <f t="shared" si="3"/>
        <v>-348.14126394052045</v>
      </c>
    </row>
    <row r="33" spans="1:21" s="335" customFormat="1">
      <c r="A33" s="1198"/>
      <c r="B33" s="1199"/>
      <c r="C33" s="1200"/>
      <c r="D33" s="1285" t="s">
        <v>385</v>
      </c>
      <c r="E33" s="1534">
        <v>31880</v>
      </c>
      <c r="F33" s="892"/>
      <c r="G33" s="893"/>
      <c r="H33" s="679">
        <f t="shared" si="13"/>
        <v>31880</v>
      </c>
      <c r="I33" s="2073">
        <v>33240</v>
      </c>
      <c r="J33" s="892"/>
      <c r="K33" s="893"/>
      <c r="L33" s="679">
        <v>32930</v>
      </c>
      <c r="M33" s="2073">
        <v>33240</v>
      </c>
      <c r="N33" s="892"/>
      <c r="O33" s="893"/>
      <c r="P33" s="679">
        <f t="shared" si="14"/>
        <v>33240</v>
      </c>
      <c r="Q33" s="1197">
        <f t="shared" si="0"/>
        <v>104.26599749058971</v>
      </c>
      <c r="R33" s="269">
        <f t="shared" si="1"/>
        <v>0</v>
      </c>
      <c r="S33" s="1130">
        <f t="shared" si="15"/>
        <v>0</v>
      </c>
      <c r="T33" s="339">
        <f t="shared" si="7"/>
        <v>1360</v>
      </c>
      <c r="U33" s="339">
        <f t="shared" si="3"/>
        <v>1255.7340025094104</v>
      </c>
    </row>
    <row r="34" spans="1:21" s="335" customFormat="1">
      <c r="A34" s="1198"/>
      <c r="B34" s="1199"/>
      <c r="C34" s="1200"/>
      <c r="D34" s="1285" t="s">
        <v>386</v>
      </c>
      <c r="E34" s="1534">
        <v>36230</v>
      </c>
      <c r="F34" s="892"/>
      <c r="G34" s="893"/>
      <c r="H34" s="679">
        <f t="shared" si="13"/>
        <v>36230</v>
      </c>
      <c r="I34" s="1534">
        <v>37970</v>
      </c>
      <c r="J34" s="892"/>
      <c r="K34" s="893"/>
      <c r="L34" s="679">
        <v>37970</v>
      </c>
      <c r="M34" s="2073">
        <v>36860</v>
      </c>
      <c r="N34" s="892"/>
      <c r="O34" s="893"/>
      <c r="P34" s="679">
        <f t="shared" si="14"/>
        <v>36860</v>
      </c>
      <c r="Q34" s="1197">
        <f t="shared" si="0"/>
        <v>101.73889042230195</v>
      </c>
      <c r="R34" s="269">
        <f t="shared" si="1"/>
        <v>0</v>
      </c>
      <c r="S34" s="1130">
        <f t="shared" si="15"/>
        <v>-1110</v>
      </c>
      <c r="T34" s="339">
        <f t="shared" si="7"/>
        <v>630</v>
      </c>
      <c r="U34" s="339">
        <f t="shared" si="3"/>
        <v>528.26110957769811</v>
      </c>
    </row>
    <row r="35" spans="1:21" s="335" customFormat="1">
      <c r="A35" s="1198"/>
      <c r="B35" s="1199"/>
      <c r="C35" s="1200"/>
      <c r="D35" s="1285" t="s">
        <v>387</v>
      </c>
      <c r="E35" s="1534">
        <v>27560</v>
      </c>
      <c r="F35" s="892"/>
      <c r="G35" s="893"/>
      <c r="H35" s="679">
        <f t="shared" si="13"/>
        <v>27560</v>
      </c>
      <c r="I35" s="1534">
        <v>27560</v>
      </c>
      <c r="J35" s="892"/>
      <c r="K35" s="893"/>
      <c r="L35" s="679">
        <v>27560</v>
      </c>
      <c r="M35" s="2073">
        <v>26200</v>
      </c>
      <c r="N35" s="892"/>
      <c r="O35" s="893"/>
      <c r="P35" s="679">
        <f t="shared" si="14"/>
        <v>26200</v>
      </c>
      <c r="Q35" s="1197">
        <f t="shared" si="0"/>
        <v>95.06531204644412</v>
      </c>
      <c r="R35" s="269">
        <f t="shared" si="1"/>
        <v>0</v>
      </c>
      <c r="S35" s="1130">
        <f t="shared" si="15"/>
        <v>-1360</v>
      </c>
      <c r="T35" s="339">
        <f t="shared" si="7"/>
        <v>-1360</v>
      </c>
      <c r="U35" s="339">
        <f t="shared" si="3"/>
        <v>-1455.0653120464442</v>
      </c>
    </row>
    <row r="36" spans="1:21" s="335" customFormat="1">
      <c r="A36" s="1198"/>
      <c r="B36" s="1199"/>
      <c r="C36" s="1200"/>
      <c r="D36" s="1285" t="s">
        <v>388</v>
      </c>
      <c r="E36" s="1534">
        <v>63570</v>
      </c>
      <c r="F36" s="892"/>
      <c r="G36" s="893"/>
      <c r="H36" s="679">
        <f t="shared" si="13"/>
        <v>63570</v>
      </c>
      <c r="I36" s="1534">
        <v>62330</v>
      </c>
      <c r="J36" s="892"/>
      <c r="K36" s="893"/>
      <c r="L36" s="679">
        <v>62330</v>
      </c>
      <c r="M36" s="2073">
        <v>61770</v>
      </c>
      <c r="N36" s="892"/>
      <c r="O36" s="893"/>
      <c r="P36" s="679">
        <f t="shared" si="14"/>
        <v>61770</v>
      </c>
      <c r="Q36" s="1197">
        <f t="shared" si="0"/>
        <v>97.16847569608305</v>
      </c>
      <c r="R36" s="269">
        <f t="shared" si="1"/>
        <v>0</v>
      </c>
      <c r="S36" s="1130">
        <f t="shared" si="15"/>
        <v>-560</v>
      </c>
      <c r="T36" s="339">
        <f t="shared" si="7"/>
        <v>-1800</v>
      </c>
      <c r="U36" s="339">
        <f t="shared" si="3"/>
        <v>-1897.1684756960831</v>
      </c>
    </row>
    <row r="37" spans="1:21" s="335" customFormat="1">
      <c r="A37" s="1198"/>
      <c r="B37" s="1199"/>
      <c r="C37" s="1200"/>
      <c r="D37" s="1285" t="s">
        <v>389</v>
      </c>
      <c r="E37" s="1534">
        <v>45250</v>
      </c>
      <c r="F37" s="892"/>
      <c r="G37" s="893"/>
      <c r="H37" s="679">
        <f t="shared" si="13"/>
        <v>45250</v>
      </c>
      <c r="I37" s="1534">
        <v>46400</v>
      </c>
      <c r="J37" s="892"/>
      <c r="K37" s="893"/>
      <c r="L37" s="679">
        <v>46400</v>
      </c>
      <c r="M37" s="2073">
        <v>45460</v>
      </c>
      <c r="N37" s="892"/>
      <c r="O37" s="893"/>
      <c r="P37" s="679">
        <f t="shared" si="14"/>
        <v>45460</v>
      </c>
      <c r="Q37" s="1197">
        <f t="shared" si="0"/>
        <v>100.46408839779006</v>
      </c>
      <c r="R37" s="269">
        <f t="shared" si="1"/>
        <v>0</v>
      </c>
      <c r="S37" s="1130">
        <f t="shared" si="15"/>
        <v>-940</v>
      </c>
      <c r="T37" s="339">
        <f t="shared" si="7"/>
        <v>210</v>
      </c>
      <c r="U37" s="339">
        <f t="shared" si="3"/>
        <v>109.53591160220994</v>
      </c>
    </row>
    <row r="38" spans="1:21" s="335" customFormat="1">
      <c r="A38" s="1198"/>
      <c r="B38" s="1199"/>
      <c r="C38" s="1200"/>
      <c r="D38" s="1285" t="s">
        <v>390</v>
      </c>
      <c r="E38" s="1534">
        <v>40670</v>
      </c>
      <c r="F38" s="892"/>
      <c r="G38" s="893"/>
      <c r="H38" s="679">
        <f t="shared" si="13"/>
        <v>40670</v>
      </c>
      <c r="I38" s="1534">
        <v>39950</v>
      </c>
      <c r="J38" s="892"/>
      <c r="K38" s="893"/>
      <c r="L38" s="679">
        <v>39950</v>
      </c>
      <c r="M38" s="2073">
        <v>38630</v>
      </c>
      <c r="N38" s="892"/>
      <c r="O38" s="893"/>
      <c r="P38" s="679">
        <f t="shared" si="14"/>
        <v>38630</v>
      </c>
      <c r="Q38" s="1197">
        <f t="shared" si="0"/>
        <v>94.984017703466932</v>
      </c>
      <c r="R38" s="269">
        <f t="shared" si="1"/>
        <v>0</v>
      </c>
      <c r="S38" s="1130">
        <f t="shared" si="15"/>
        <v>-1320</v>
      </c>
      <c r="T38" s="339">
        <f t="shared" si="7"/>
        <v>-2040</v>
      </c>
      <c r="U38" s="339">
        <f t="shared" si="3"/>
        <v>-2134.9840177034671</v>
      </c>
    </row>
    <row r="39" spans="1:21" s="335" customFormat="1">
      <c r="A39" s="1198"/>
      <c r="B39" s="1199"/>
      <c r="C39" s="1200"/>
      <c r="D39" s="1285" t="s">
        <v>391</v>
      </c>
      <c r="E39" s="1534">
        <v>29620</v>
      </c>
      <c r="F39" s="892"/>
      <c r="G39" s="893"/>
      <c r="H39" s="679">
        <f t="shared" si="13"/>
        <v>29620</v>
      </c>
      <c r="I39" s="2073">
        <v>29900</v>
      </c>
      <c r="J39" s="892"/>
      <c r="K39" s="893"/>
      <c r="L39" s="679">
        <v>29300</v>
      </c>
      <c r="M39" s="2073">
        <v>29900</v>
      </c>
      <c r="N39" s="892"/>
      <c r="O39" s="893"/>
      <c r="P39" s="679">
        <f t="shared" si="14"/>
        <v>29900</v>
      </c>
      <c r="Q39" s="1197">
        <f t="shared" si="0"/>
        <v>100.94530722484807</v>
      </c>
      <c r="R39" s="269">
        <f t="shared" si="1"/>
        <v>0</v>
      </c>
      <c r="S39" s="1130">
        <f t="shared" si="15"/>
        <v>0</v>
      </c>
      <c r="T39" s="339">
        <f t="shared" si="7"/>
        <v>280</v>
      </c>
      <c r="U39" s="339">
        <f t="shared" si="3"/>
        <v>179.05469277515192</v>
      </c>
    </row>
    <row r="40" spans="1:21" s="335" customFormat="1">
      <c r="A40" s="1198"/>
      <c r="B40" s="1199"/>
      <c r="C40" s="1200"/>
      <c r="D40" s="1285" t="s">
        <v>392</v>
      </c>
      <c r="E40" s="1534">
        <v>60420</v>
      </c>
      <c r="F40" s="892"/>
      <c r="G40" s="893"/>
      <c r="H40" s="679">
        <f t="shared" si="13"/>
        <v>60420</v>
      </c>
      <c r="I40" s="2073">
        <v>62670</v>
      </c>
      <c r="J40" s="892"/>
      <c r="K40" s="893"/>
      <c r="L40" s="679">
        <v>59810</v>
      </c>
      <c r="M40" s="2073">
        <v>62670</v>
      </c>
      <c r="N40" s="892"/>
      <c r="O40" s="893"/>
      <c r="P40" s="679">
        <f t="shared" si="14"/>
        <v>62670</v>
      </c>
      <c r="Q40" s="1197">
        <f t="shared" si="0"/>
        <v>103.72393247269116</v>
      </c>
      <c r="R40" s="269">
        <f t="shared" si="1"/>
        <v>0</v>
      </c>
      <c r="S40" s="1130">
        <f t="shared" si="15"/>
        <v>0</v>
      </c>
      <c r="T40" s="339">
        <f t="shared" si="7"/>
        <v>2250</v>
      </c>
      <c r="U40" s="339">
        <f t="shared" si="3"/>
        <v>2146.2760675273089</v>
      </c>
    </row>
    <row r="41" spans="1:21" s="335" customFormat="1">
      <c r="A41" s="1198"/>
      <c r="B41" s="1199"/>
      <c r="C41" s="1200"/>
      <c r="D41" s="1285" t="s">
        <v>393</v>
      </c>
      <c r="E41" s="1534">
        <v>28990</v>
      </c>
      <c r="F41" s="892"/>
      <c r="G41" s="893"/>
      <c r="H41" s="679">
        <f t="shared" si="13"/>
        <v>28990</v>
      </c>
      <c r="I41" s="2073">
        <v>30300</v>
      </c>
      <c r="J41" s="892"/>
      <c r="K41" s="893"/>
      <c r="L41" s="679">
        <v>30210</v>
      </c>
      <c r="M41" s="2073">
        <v>30300</v>
      </c>
      <c r="N41" s="892"/>
      <c r="O41" s="893"/>
      <c r="P41" s="679">
        <f t="shared" si="14"/>
        <v>30300</v>
      </c>
      <c r="Q41" s="1197">
        <f t="shared" si="0"/>
        <v>104.51879958606416</v>
      </c>
      <c r="R41" s="269">
        <f t="shared" si="1"/>
        <v>0</v>
      </c>
      <c r="S41" s="1130">
        <f t="shared" si="15"/>
        <v>0</v>
      </c>
      <c r="T41" s="339">
        <f t="shared" si="7"/>
        <v>1310</v>
      </c>
      <c r="U41" s="339">
        <f t="shared" si="3"/>
        <v>1205.4812004139358</v>
      </c>
    </row>
    <row r="42" spans="1:21" s="335" customFormat="1">
      <c r="A42" s="1198"/>
      <c r="B42" s="1199"/>
      <c r="C42" s="1200"/>
      <c r="D42" s="1285" t="s">
        <v>394</v>
      </c>
      <c r="E42" s="1534">
        <v>44040</v>
      </c>
      <c r="F42" s="892"/>
      <c r="G42" s="893"/>
      <c r="H42" s="679">
        <f t="shared" si="13"/>
        <v>44040</v>
      </c>
      <c r="I42" s="1534">
        <v>44040</v>
      </c>
      <c r="J42" s="892"/>
      <c r="K42" s="893"/>
      <c r="L42" s="679">
        <v>44040</v>
      </c>
      <c r="M42" s="2073">
        <v>43250</v>
      </c>
      <c r="N42" s="892"/>
      <c r="O42" s="893"/>
      <c r="P42" s="679">
        <f t="shared" si="14"/>
        <v>43250</v>
      </c>
      <c r="Q42" s="1197">
        <f t="shared" si="0"/>
        <v>98.206176203451406</v>
      </c>
      <c r="R42" s="269">
        <f t="shared" si="1"/>
        <v>0</v>
      </c>
      <c r="S42" s="1130">
        <f t="shared" si="15"/>
        <v>-790</v>
      </c>
      <c r="T42" s="339">
        <f t="shared" si="7"/>
        <v>-790</v>
      </c>
      <c r="U42" s="339">
        <f t="shared" si="3"/>
        <v>-888.20617620345138</v>
      </c>
    </row>
    <row r="43" spans="1:21" s="335" customFormat="1" ht="31.5">
      <c r="A43" s="1446"/>
      <c r="B43" s="1447"/>
      <c r="C43" s="1448" t="s">
        <v>188</v>
      </c>
      <c r="D43" s="1507" t="s">
        <v>1668</v>
      </c>
      <c r="E43" s="1534"/>
      <c r="F43" s="892"/>
      <c r="G43" s="893"/>
      <c r="H43" s="679"/>
      <c r="I43" s="1529">
        <v>120000</v>
      </c>
      <c r="J43" s="888"/>
      <c r="K43" s="889"/>
      <c r="L43" s="1518">
        <f t="shared" ref="L43:L52" si="16">SUM(I43:K43)</f>
        <v>120000</v>
      </c>
      <c r="M43" s="2079"/>
      <c r="N43" s="888"/>
      <c r="O43" s="889"/>
      <c r="P43" s="446">
        <f t="shared" ref="P43" si="17">SUM(M43:O43)</f>
        <v>0</v>
      </c>
      <c r="Q43" s="1449"/>
      <c r="R43" s="269">
        <f t="shared" si="1"/>
        <v>0</v>
      </c>
      <c r="S43" s="1130"/>
      <c r="T43" s="339">
        <f t="shared" si="7"/>
        <v>0</v>
      </c>
      <c r="U43" s="339"/>
    </row>
    <row r="44" spans="1:21" s="447" customFormat="1" ht="23.25" customHeight="1">
      <c r="A44" s="1194"/>
      <c r="B44" s="887" t="s">
        <v>370</v>
      </c>
      <c r="C44" s="1195" t="s">
        <v>366</v>
      </c>
      <c r="D44" s="1507" t="s">
        <v>1297</v>
      </c>
      <c r="E44" s="1529">
        <v>15000</v>
      </c>
      <c r="F44" s="888"/>
      <c r="G44" s="889"/>
      <c r="H44" s="1518">
        <f t="shared" si="13"/>
        <v>15000</v>
      </c>
      <c r="I44" s="1532">
        <v>120000</v>
      </c>
      <c r="J44" s="888"/>
      <c r="K44" s="889"/>
      <c r="L44" s="1518">
        <f t="shared" si="16"/>
        <v>120000</v>
      </c>
      <c r="M44" s="1532"/>
      <c r="N44" s="888"/>
      <c r="O44" s="889"/>
      <c r="P44" s="446">
        <f>SUM(M44:O44)</f>
        <v>0</v>
      </c>
      <c r="Q44" s="1197">
        <f t="shared" si="0"/>
        <v>0</v>
      </c>
      <c r="R44" s="269">
        <f t="shared" si="1"/>
        <v>0</v>
      </c>
      <c r="S44" s="1129"/>
      <c r="T44" s="339">
        <f t="shared" si="7"/>
        <v>-15000</v>
      </c>
      <c r="U44" s="339">
        <f t="shared" si="3"/>
        <v>-15000</v>
      </c>
    </row>
    <row r="45" spans="1:21" s="335" customFormat="1" ht="31.5">
      <c r="A45" s="1194">
        <v>111</v>
      </c>
      <c r="B45" s="887" t="s">
        <v>370</v>
      </c>
      <c r="C45" s="1195" t="s">
        <v>366</v>
      </c>
      <c r="D45" s="1507" t="s">
        <v>395</v>
      </c>
      <c r="E45" s="1532">
        <v>120000</v>
      </c>
      <c r="F45" s="888"/>
      <c r="G45" s="889"/>
      <c r="H45" s="1518">
        <f t="shared" si="13"/>
        <v>120000</v>
      </c>
      <c r="I45" s="1532">
        <v>15000</v>
      </c>
      <c r="J45" s="888"/>
      <c r="K45" s="889"/>
      <c r="L45" s="1518">
        <f t="shared" si="16"/>
        <v>15000</v>
      </c>
      <c r="M45" s="1532">
        <v>14000</v>
      </c>
      <c r="N45" s="888"/>
      <c r="O45" s="889"/>
      <c r="P45" s="446">
        <f t="shared" ref="P45:P52" si="18">SUM(M45:O45)</f>
        <v>14000</v>
      </c>
      <c r="Q45" s="1197">
        <f t="shared" si="0"/>
        <v>11.666666666666666</v>
      </c>
      <c r="R45" s="269">
        <f t="shared" si="1"/>
        <v>0</v>
      </c>
      <c r="S45" s="1129"/>
      <c r="T45" s="339">
        <f t="shared" si="7"/>
        <v>-106000</v>
      </c>
      <c r="U45" s="339">
        <f t="shared" si="3"/>
        <v>-106011.66666666667</v>
      </c>
    </row>
    <row r="46" spans="1:21" s="335" customFormat="1" ht="31.5">
      <c r="A46" s="1194">
        <v>111</v>
      </c>
      <c r="B46" s="887" t="s">
        <v>370</v>
      </c>
      <c r="C46" s="1195" t="s">
        <v>396</v>
      </c>
      <c r="D46" s="1507" t="s">
        <v>760</v>
      </c>
      <c r="E46" s="1532">
        <v>9000</v>
      </c>
      <c r="F46" s="888"/>
      <c r="G46" s="889"/>
      <c r="H46" s="1518">
        <f t="shared" si="13"/>
        <v>9000</v>
      </c>
      <c r="I46" s="1532">
        <v>9000</v>
      </c>
      <c r="J46" s="888"/>
      <c r="K46" s="889"/>
      <c r="L46" s="1518">
        <f t="shared" si="16"/>
        <v>9000</v>
      </c>
      <c r="M46" s="1532">
        <v>9000</v>
      </c>
      <c r="N46" s="888"/>
      <c r="O46" s="889"/>
      <c r="P46" s="446">
        <f t="shared" si="18"/>
        <v>9000</v>
      </c>
      <c r="Q46" s="1197">
        <f t="shared" si="0"/>
        <v>100</v>
      </c>
      <c r="R46" s="269">
        <f t="shared" si="1"/>
        <v>0</v>
      </c>
      <c r="S46" s="1129"/>
      <c r="T46" s="339">
        <f t="shared" si="7"/>
        <v>0</v>
      </c>
      <c r="U46" s="339">
        <f t="shared" si="3"/>
        <v>-100</v>
      </c>
    </row>
    <row r="47" spans="1:21" s="335" customFormat="1" ht="31.5">
      <c r="A47" s="1194">
        <v>111</v>
      </c>
      <c r="B47" s="887" t="s">
        <v>370</v>
      </c>
      <c r="C47" s="1195">
        <v>613500</v>
      </c>
      <c r="D47" s="1507" t="s">
        <v>397</v>
      </c>
      <c r="E47" s="1532">
        <v>1769810</v>
      </c>
      <c r="F47" s="888"/>
      <c r="G47" s="889"/>
      <c r="H47" s="1518">
        <f t="shared" si="13"/>
        <v>1769810</v>
      </c>
      <c r="I47" s="1532">
        <v>1697700</v>
      </c>
      <c r="J47" s="888"/>
      <c r="K47" s="889"/>
      <c r="L47" s="1518">
        <f t="shared" si="16"/>
        <v>1697700</v>
      </c>
      <c r="M47" s="1532">
        <v>1056310</v>
      </c>
      <c r="N47" s="888"/>
      <c r="O47" s="889"/>
      <c r="P47" s="446">
        <f t="shared" si="18"/>
        <v>1056310</v>
      </c>
      <c r="Q47" s="1197">
        <f t="shared" si="0"/>
        <v>59.684937931190355</v>
      </c>
      <c r="R47" s="269">
        <f t="shared" si="1"/>
        <v>0</v>
      </c>
      <c r="S47" s="1129">
        <f>'[1]PRIH REBALANS'!$AG$694</f>
        <v>1056310</v>
      </c>
      <c r="T47" s="339">
        <f t="shared" si="7"/>
        <v>-713500</v>
      </c>
      <c r="U47" s="339">
        <f t="shared" si="3"/>
        <v>-713559.68493793125</v>
      </c>
    </row>
    <row r="48" spans="1:21" s="335" customFormat="1" ht="19.5" customHeight="1">
      <c r="A48" s="1194">
        <v>111</v>
      </c>
      <c r="B48" s="887" t="s">
        <v>370</v>
      </c>
      <c r="C48" s="1195">
        <v>614125</v>
      </c>
      <c r="D48" s="1507" t="s">
        <v>398</v>
      </c>
      <c r="E48" s="1532">
        <v>93620</v>
      </c>
      <c r="F48" s="888"/>
      <c r="G48" s="889"/>
      <c r="H48" s="1518">
        <f t="shared" si="13"/>
        <v>93620</v>
      </c>
      <c r="I48" s="1532">
        <v>93620</v>
      </c>
      <c r="J48" s="892"/>
      <c r="K48" s="893"/>
      <c r="L48" s="1518">
        <f t="shared" si="16"/>
        <v>93620</v>
      </c>
      <c r="M48" s="1532">
        <v>62000</v>
      </c>
      <c r="N48" s="892"/>
      <c r="O48" s="893"/>
      <c r="P48" s="446">
        <f t="shared" si="18"/>
        <v>62000</v>
      </c>
      <c r="Q48" s="1197">
        <f t="shared" si="0"/>
        <v>66.225165562913915</v>
      </c>
      <c r="R48" s="269">
        <f t="shared" si="1"/>
        <v>0</v>
      </c>
      <c r="S48" s="1129"/>
      <c r="T48" s="339">
        <f t="shared" si="7"/>
        <v>-31620</v>
      </c>
      <c r="U48" s="339">
        <f t="shared" si="3"/>
        <v>-31686.225165562915</v>
      </c>
    </row>
    <row r="49" spans="1:21" s="335" customFormat="1" ht="21.75" customHeight="1">
      <c r="A49" s="1198">
        <v>111</v>
      </c>
      <c r="B49" s="1199" t="s">
        <v>370</v>
      </c>
      <c r="C49" s="1195" t="s">
        <v>399</v>
      </c>
      <c r="D49" s="1507" t="s">
        <v>400</v>
      </c>
      <c r="E49" s="1532">
        <v>135000</v>
      </c>
      <c r="F49" s="892"/>
      <c r="G49" s="893"/>
      <c r="H49" s="1518">
        <f t="shared" si="13"/>
        <v>135000</v>
      </c>
      <c r="I49" s="1532">
        <v>150000</v>
      </c>
      <c r="J49" s="888"/>
      <c r="K49" s="889"/>
      <c r="L49" s="1518">
        <f t="shared" si="16"/>
        <v>150000</v>
      </c>
      <c r="M49" s="1532">
        <v>135000</v>
      </c>
      <c r="N49" s="888"/>
      <c r="O49" s="889"/>
      <c r="P49" s="446">
        <f t="shared" si="18"/>
        <v>135000</v>
      </c>
      <c r="Q49" s="1197">
        <f t="shared" si="0"/>
        <v>100</v>
      </c>
      <c r="R49" s="269">
        <f t="shared" si="1"/>
        <v>0</v>
      </c>
      <c r="S49" s="1129"/>
      <c r="T49" s="339">
        <f t="shared" si="7"/>
        <v>0</v>
      </c>
      <c r="U49" s="339">
        <f t="shared" si="3"/>
        <v>-100</v>
      </c>
    </row>
    <row r="50" spans="1:21" s="335" customFormat="1" ht="47.25">
      <c r="A50" s="1194">
        <v>111</v>
      </c>
      <c r="B50" s="887" t="s">
        <v>370</v>
      </c>
      <c r="C50" s="1195" t="s">
        <v>401</v>
      </c>
      <c r="D50" s="1507" t="s">
        <v>402</v>
      </c>
      <c r="E50" s="1532">
        <v>10000</v>
      </c>
      <c r="F50" s="888"/>
      <c r="G50" s="889"/>
      <c r="H50" s="1518">
        <f t="shared" si="13"/>
        <v>10000</v>
      </c>
      <c r="I50" s="1532">
        <v>10000</v>
      </c>
      <c r="J50" s="888"/>
      <c r="K50" s="889"/>
      <c r="L50" s="1518">
        <f t="shared" si="16"/>
        <v>10000</v>
      </c>
      <c r="M50" s="1532">
        <v>10000</v>
      </c>
      <c r="N50" s="888"/>
      <c r="O50" s="889"/>
      <c r="P50" s="446">
        <f t="shared" si="18"/>
        <v>10000</v>
      </c>
      <c r="Q50" s="1197">
        <f t="shared" si="0"/>
        <v>100</v>
      </c>
      <c r="R50" s="269">
        <f t="shared" si="1"/>
        <v>0</v>
      </c>
      <c r="S50" s="1129"/>
      <c r="T50" s="339">
        <f t="shared" si="7"/>
        <v>0</v>
      </c>
      <c r="U50" s="339">
        <f t="shared" si="3"/>
        <v>-100</v>
      </c>
    </row>
    <row r="51" spans="1:21" s="335" customFormat="1">
      <c r="A51" s="1194">
        <v>111</v>
      </c>
      <c r="B51" s="887" t="s">
        <v>370</v>
      </c>
      <c r="C51" s="1195" t="s">
        <v>366</v>
      </c>
      <c r="D51" s="1507" t="s">
        <v>403</v>
      </c>
      <c r="E51" s="1532"/>
      <c r="F51" s="888"/>
      <c r="G51" s="889"/>
      <c r="H51" s="1518">
        <f t="shared" si="13"/>
        <v>0</v>
      </c>
      <c r="I51" s="1535">
        <v>20000</v>
      </c>
      <c r="J51" s="1162"/>
      <c r="K51" s="1160"/>
      <c r="L51" s="1518">
        <f t="shared" si="16"/>
        <v>20000</v>
      </c>
      <c r="M51" s="1535"/>
      <c r="N51" s="1162"/>
      <c r="O51" s="1160"/>
      <c r="P51" s="446">
        <f t="shared" si="18"/>
        <v>0</v>
      </c>
      <c r="Q51" s="1197"/>
      <c r="R51" s="269">
        <f t="shared" si="1"/>
        <v>0</v>
      </c>
      <c r="S51" s="1129"/>
      <c r="T51" s="339">
        <f t="shared" si="7"/>
        <v>0</v>
      </c>
      <c r="U51" s="339">
        <f t="shared" si="3"/>
        <v>0</v>
      </c>
    </row>
    <row r="52" spans="1:21" s="335" customFormat="1">
      <c r="A52" s="1202" t="s">
        <v>319</v>
      </c>
      <c r="B52" s="1203" t="s">
        <v>370</v>
      </c>
      <c r="C52" s="1204" t="s">
        <v>366</v>
      </c>
      <c r="D52" s="359" t="s">
        <v>1185</v>
      </c>
      <c r="E52" s="1535">
        <v>100000</v>
      </c>
      <c r="F52" s="1162"/>
      <c r="G52" s="1160"/>
      <c r="H52" s="1518">
        <f t="shared" si="13"/>
        <v>100000</v>
      </c>
      <c r="I52" s="1535">
        <v>100000</v>
      </c>
      <c r="J52" s="1162"/>
      <c r="K52" s="1160"/>
      <c r="L52" s="1518">
        <f t="shared" si="16"/>
        <v>100000</v>
      </c>
      <c r="M52" s="1535">
        <v>100000</v>
      </c>
      <c r="N52" s="1162"/>
      <c r="O52" s="1160"/>
      <c r="P52" s="446">
        <f t="shared" si="18"/>
        <v>100000</v>
      </c>
      <c r="Q52" s="1197">
        <f t="shared" si="0"/>
        <v>100</v>
      </c>
      <c r="R52" s="269">
        <f t="shared" si="1"/>
        <v>0</v>
      </c>
      <c r="S52" s="1129"/>
      <c r="T52" s="339">
        <f t="shared" si="7"/>
        <v>0</v>
      </c>
      <c r="U52" s="339">
        <f t="shared" si="3"/>
        <v>-100</v>
      </c>
    </row>
    <row r="53" spans="1:21" s="335" customFormat="1" ht="31.5">
      <c r="A53" s="1194">
        <v>111</v>
      </c>
      <c r="B53" s="887"/>
      <c r="C53" s="1195">
        <v>614324</v>
      </c>
      <c r="D53" s="1507" t="s">
        <v>405</v>
      </c>
      <c r="E53" s="1529">
        <f>SUM(E54:E57)</f>
        <v>50000</v>
      </c>
      <c r="F53" s="888">
        <f>SUM(F54:F56)</f>
        <v>0</v>
      </c>
      <c r="G53" s="889">
        <f>SUM(G54:G56)</f>
        <v>0</v>
      </c>
      <c r="H53" s="446">
        <f>SUM(H54:H57)</f>
        <v>50000</v>
      </c>
      <c r="I53" s="1529">
        <f>SUM(I54:I57)</f>
        <v>50000</v>
      </c>
      <c r="J53" s="888"/>
      <c r="K53" s="889"/>
      <c r="L53" s="446">
        <f>SUM(L54:L57)</f>
        <v>50000</v>
      </c>
      <c r="M53" s="1529">
        <f>SUM(M54:M57)</f>
        <v>50000</v>
      </c>
      <c r="N53" s="888">
        <f>SUM(N54:N56)</f>
        <v>0</v>
      </c>
      <c r="O53" s="889">
        <f>SUM(O54:O56)</f>
        <v>0</v>
      </c>
      <c r="P53" s="446">
        <f>SUM(P54:P57)</f>
        <v>50000</v>
      </c>
      <c r="Q53" s="1197">
        <f t="shared" si="0"/>
        <v>100</v>
      </c>
      <c r="R53" s="269">
        <f t="shared" si="1"/>
        <v>0</v>
      </c>
      <c r="S53" s="1129">
        <f>'[8]PRIH REBALANS'!$AG$702</f>
        <v>50000</v>
      </c>
      <c r="T53" s="339">
        <f t="shared" si="7"/>
        <v>0</v>
      </c>
      <c r="U53" s="339" t="e">
        <f>T53-#REF!</f>
        <v>#REF!</v>
      </c>
    </row>
    <row r="54" spans="1:21" s="335" customFormat="1">
      <c r="A54" s="1198"/>
      <c r="B54" s="890" t="s">
        <v>327</v>
      </c>
      <c r="C54" s="1205"/>
      <c r="D54" s="1285" t="s">
        <v>406</v>
      </c>
      <c r="E54" s="1536">
        <v>3000</v>
      </c>
      <c r="F54" s="892"/>
      <c r="G54" s="893"/>
      <c r="H54" s="679">
        <f>SUM(E54:G54)</f>
        <v>3000</v>
      </c>
      <c r="I54" s="1536">
        <v>3000</v>
      </c>
      <c r="J54" s="892"/>
      <c r="K54" s="893"/>
      <c r="L54" s="1522">
        <v>3000</v>
      </c>
      <c r="M54" s="1536">
        <v>3000</v>
      </c>
      <c r="N54" s="892"/>
      <c r="O54" s="893"/>
      <c r="P54" s="679">
        <f>SUM(M54:O54)</f>
        <v>3000</v>
      </c>
      <c r="Q54" s="1197">
        <f t="shared" si="0"/>
        <v>100</v>
      </c>
      <c r="R54" s="269">
        <f t="shared" si="1"/>
        <v>0</v>
      </c>
      <c r="S54" s="1130"/>
      <c r="T54" s="339">
        <f t="shared" si="7"/>
        <v>0</v>
      </c>
      <c r="U54" s="339">
        <f t="shared" ref="U54:U61" si="19">T54-Q53</f>
        <v>-100</v>
      </c>
    </row>
    <row r="55" spans="1:21" s="335" customFormat="1" ht="31.5">
      <c r="A55" s="1198"/>
      <c r="B55" s="890" t="s">
        <v>327</v>
      </c>
      <c r="C55" s="1205"/>
      <c r="D55" s="1285" t="s">
        <v>407</v>
      </c>
      <c r="E55" s="1536">
        <v>3000</v>
      </c>
      <c r="F55" s="892"/>
      <c r="G55" s="893"/>
      <c r="H55" s="679">
        <f t="shared" ref="H55:H57" si="20">SUM(E55:G55)</f>
        <v>3000</v>
      </c>
      <c r="I55" s="1536">
        <v>3000</v>
      </c>
      <c r="J55" s="892"/>
      <c r="K55" s="893"/>
      <c r="L55" s="1522">
        <v>3000</v>
      </c>
      <c r="M55" s="1536">
        <v>3000</v>
      </c>
      <c r="N55" s="892"/>
      <c r="O55" s="893"/>
      <c r="P55" s="679">
        <f t="shared" ref="P55:P57" si="21">SUM(M55:O55)</f>
        <v>3000</v>
      </c>
      <c r="Q55" s="1197">
        <f t="shared" si="0"/>
        <v>100</v>
      </c>
      <c r="R55" s="269">
        <f t="shared" si="1"/>
        <v>0</v>
      </c>
      <c r="S55" s="1130"/>
      <c r="T55" s="339">
        <f t="shared" si="7"/>
        <v>0</v>
      </c>
      <c r="U55" s="339">
        <f t="shared" si="19"/>
        <v>-100</v>
      </c>
    </row>
    <row r="56" spans="1:21" s="335" customFormat="1">
      <c r="A56" s="1198"/>
      <c r="B56" s="890" t="s">
        <v>370</v>
      </c>
      <c r="C56" s="1200"/>
      <c r="D56" s="1285" t="s">
        <v>408</v>
      </c>
      <c r="E56" s="1536">
        <v>20000</v>
      </c>
      <c r="F56" s="892"/>
      <c r="G56" s="893"/>
      <c r="H56" s="679">
        <f t="shared" si="20"/>
        <v>20000</v>
      </c>
      <c r="I56" s="1536">
        <v>20000</v>
      </c>
      <c r="J56" s="892"/>
      <c r="K56" s="893"/>
      <c r="L56" s="1522">
        <v>20000</v>
      </c>
      <c r="M56" s="1536">
        <v>20000</v>
      </c>
      <c r="N56" s="892"/>
      <c r="O56" s="893"/>
      <c r="P56" s="679">
        <f t="shared" si="21"/>
        <v>20000</v>
      </c>
      <c r="Q56" s="1197">
        <f t="shared" si="0"/>
        <v>100</v>
      </c>
      <c r="R56" s="269">
        <f t="shared" si="1"/>
        <v>0</v>
      </c>
      <c r="S56" s="1130"/>
      <c r="T56" s="339">
        <f t="shared" si="7"/>
        <v>0</v>
      </c>
      <c r="U56" s="339">
        <f t="shared" si="19"/>
        <v>-100</v>
      </c>
    </row>
    <row r="57" spans="1:21" s="335" customFormat="1">
      <c r="A57" s="1206" t="s">
        <v>319</v>
      </c>
      <c r="B57" s="1207" t="s">
        <v>370</v>
      </c>
      <c r="C57" s="1208"/>
      <c r="D57" s="1209" t="s">
        <v>409</v>
      </c>
      <c r="E57" s="1537">
        <v>24000</v>
      </c>
      <c r="F57" s="1044"/>
      <c r="G57" s="1538"/>
      <c r="H57" s="679">
        <f t="shared" si="20"/>
        <v>24000</v>
      </c>
      <c r="I57" s="1537">
        <v>24000</v>
      </c>
      <c r="J57" s="1044"/>
      <c r="K57" s="1538"/>
      <c r="L57" s="1523">
        <v>24000</v>
      </c>
      <c r="M57" s="1537">
        <v>24000</v>
      </c>
      <c r="N57" s="1044"/>
      <c r="O57" s="1538"/>
      <c r="P57" s="679">
        <f t="shared" si="21"/>
        <v>24000</v>
      </c>
      <c r="Q57" s="1197">
        <f t="shared" si="0"/>
        <v>100</v>
      </c>
      <c r="R57" s="269">
        <f t="shared" si="1"/>
        <v>0</v>
      </c>
      <c r="S57" s="1130"/>
      <c r="T57" s="339">
        <f t="shared" si="7"/>
        <v>0</v>
      </c>
      <c r="U57" s="339">
        <f t="shared" si="19"/>
        <v>-100</v>
      </c>
    </row>
    <row r="58" spans="1:21" s="335" customFormat="1" ht="20.25" customHeight="1">
      <c r="A58" s="1210">
        <v>111</v>
      </c>
      <c r="B58" s="1211"/>
      <c r="C58" s="1212" t="s">
        <v>410</v>
      </c>
      <c r="D58" s="1196" t="s">
        <v>411</v>
      </c>
      <c r="E58" s="1529">
        <f>SUM(E59:E60)</f>
        <v>340000</v>
      </c>
      <c r="F58" s="888">
        <f t="shared" ref="F58:G58" si="22">SUM(F59:F60)</f>
        <v>0</v>
      </c>
      <c r="G58" s="889">
        <f t="shared" si="22"/>
        <v>1500</v>
      </c>
      <c r="H58" s="446">
        <f>SUM(H59:H60)</f>
        <v>341500</v>
      </c>
      <c r="I58" s="1529">
        <f>SUM(I59:I65)</f>
        <v>535500</v>
      </c>
      <c r="J58" s="888"/>
      <c r="K58" s="889"/>
      <c r="L58" s="446">
        <f>SUM(L59:L65)</f>
        <v>535500</v>
      </c>
      <c r="M58" s="1529">
        <f>SUM(M59:M60)</f>
        <v>280000</v>
      </c>
      <c r="N58" s="888"/>
      <c r="O58" s="889"/>
      <c r="P58" s="1526">
        <f>SUM(P59:P60)</f>
        <v>280000</v>
      </c>
      <c r="Q58" s="1197">
        <f t="shared" si="0"/>
        <v>81.991215226939971</v>
      </c>
      <c r="R58" s="269">
        <f t="shared" si="1"/>
        <v>0</v>
      </c>
      <c r="S58" s="1129"/>
      <c r="T58" s="339">
        <f t="shared" si="7"/>
        <v>-60000</v>
      </c>
      <c r="U58" s="339">
        <f t="shared" si="19"/>
        <v>-60100</v>
      </c>
    </row>
    <row r="59" spans="1:21" s="335" customFormat="1">
      <c r="A59" s="1214"/>
      <c r="B59" s="1211" t="s">
        <v>412</v>
      </c>
      <c r="C59" s="1215">
        <v>614234</v>
      </c>
      <c r="D59" s="1201" t="s">
        <v>413</v>
      </c>
      <c r="E59" s="1536">
        <v>340000</v>
      </c>
      <c r="F59" s="892"/>
      <c r="G59" s="893"/>
      <c r="H59" s="679">
        <f>SUM(E59:G59)</f>
        <v>340000</v>
      </c>
      <c r="I59" s="1536">
        <v>425500</v>
      </c>
      <c r="J59" s="892"/>
      <c r="K59" s="893"/>
      <c r="L59" s="679">
        <v>425500</v>
      </c>
      <c r="M59" s="1536">
        <v>280000</v>
      </c>
      <c r="N59" s="892"/>
      <c r="O59" s="893"/>
      <c r="P59" s="679">
        <f>SUM(M59:O59)</f>
        <v>280000</v>
      </c>
      <c r="Q59" s="1197">
        <f t="shared" si="0"/>
        <v>82.35294117647058</v>
      </c>
      <c r="R59" s="269">
        <f t="shared" si="1"/>
        <v>0</v>
      </c>
      <c r="S59" s="1130"/>
      <c r="T59" s="339">
        <f t="shared" si="7"/>
        <v>-60000</v>
      </c>
      <c r="U59" s="339">
        <f t="shared" si="19"/>
        <v>-60081.991215226939</v>
      </c>
    </row>
    <row r="60" spans="1:21" s="335" customFormat="1">
      <c r="A60" s="1214"/>
      <c r="B60" s="1211"/>
      <c r="C60" s="1215"/>
      <c r="D60" s="1201" t="s">
        <v>1524</v>
      </c>
      <c r="E60" s="1536"/>
      <c r="F60" s="892"/>
      <c r="G60" s="893">
        <v>1500</v>
      </c>
      <c r="H60" s="679">
        <f>SUM(E60:G60)</f>
        <v>1500</v>
      </c>
      <c r="I60" s="1536">
        <v>30000</v>
      </c>
      <c r="J60" s="892"/>
      <c r="K60" s="893"/>
      <c r="L60" s="679">
        <v>30000</v>
      </c>
      <c r="M60" s="1536"/>
      <c r="N60" s="892"/>
      <c r="O60" s="893"/>
      <c r="P60" s="679">
        <f t="shared" ref="P60:P66" si="23">SUM(M60:O60)</f>
        <v>0</v>
      </c>
      <c r="Q60" s="1197">
        <f t="shared" si="0"/>
        <v>0</v>
      </c>
      <c r="R60" s="269">
        <f t="shared" si="1"/>
        <v>0</v>
      </c>
      <c r="S60" s="1129"/>
      <c r="T60" s="339">
        <f t="shared" si="7"/>
        <v>0</v>
      </c>
      <c r="U60" s="339">
        <f t="shared" si="19"/>
        <v>-82.35294117647058</v>
      </c>
    </row>
    <row r="61" spans="1:21" s="447" customFormat="1" ht="20.25" customHeight="1">
      <c r="A61" s="1210"/>
      <c r="B61" s="1217" t="s">
        <v>412</v>
      </c>
      <c r="C61" s="1212" t="s">
        <v>415</v>
      </c>
      <c r="D61" s="1201" t="s">
        <v>1656</v>
      </c>
      <c r="E61" s="1533">
        <v>20000</v>
      </c>
      <c r="F61" s="888"/>
      <c r="G61" s="889"/>
      <c r="H61" s="446">
        <v>20000</v>
      </c>
      <c r="I61" s="1536">
        <v>20000</v>
      </c>
      <c r="J61" s="892"/>
      <c r="K61" s="893"/>
      <c r="L61" s="679">
        <v>20000</v>
      </c>
      <c r="M61" s="2170"/>
      <c r="N61" s="2171"/>
      <c r="O61" s="2172"/>
      <c r="P61" s="2173">
        <f t="shared" si="23"/>
        <v>0</v>
      </c>
      <c r="Q61" s="1197">
        <f t="shared" si="0"/>
        <v>0</v>
      </c>
      <c r="R61" s="269">
        <f t="shared" si="1"/>
        <v>0</v>
      </c>
      <c r="S61" s="1129">
        <f>SUM('[8]PRIH REBALANS'!$AG$710:$AG$715)</f>
        <v>335000</v>
      </c>
      <c r="T61" s="339">
        <f t="shared" si="7"/>
        <v>-20000</v>
      </c>
      <c r="U61" s="339">
        <f t="shared" si="19"/>
        <v>-20000</v>
      </c>
    </row>
    <row r="62" spans="1:21" s="447" customFormat="1" ht="20.25" customHeight="1">
      <c r="A62" s="1282"/>
      <c r="B62" s="1283"/>
      <c r="C62" s="1284"/>
      <c r="D62" s="1201" t="s">
        <v>1657</v>
      </c>
      <c r="E62" s="1533"/>
      <c r="F62" s="888"/>
      <c r="G62" s="889"/>
      <c r="H62" s="446"/>
      <c r="I62" s="1532"/>
      <c r="J62" s="892"/>
      <c r="K62" s="893"/>
      <c r="L62" s="679">
        <f>I62+J62+K62</f>
        <v>0</v>
      </c>
      <c r="M62" s="2170"/>
      <c r="N62" s="2171"/>
      <c r="O62" s="2172"/>
      <c r="P62" s="2173">
        <f t="shared" si="23"/>
        <v>0</v>
      </c>
      <c r="Q62" s="1550"/>
      <c r="R62" s="269">
        <f t="shared" si="1"/>
        <v>0</v>
      </c>
      <c r="S62" s="1129">
        <f>SUM(M61:M66)</f>
        <v>20000</v>
      </c>
      <c r="T62" s="339">
        <f t="shared" si="7"/>
        <v>0</v>
      </c>
      <c r="U62" s="339"/>
    </row>
    <row r="63" spans="1:21" s="447" customFormat="1" ht="20.25" customHeight="1">
      <c r="A63" s="1282"/>
      <c r="B63" s="1283"/>
      <c r="C63" s="1284"/>
      <c r="D63" s="1201" t="s">
        <v>416</v>
      </c>
      <c r="E63" s="1533"/>
      <c r="F63" s="888"/>
      <c r="G63" s="889"/>
      <c r="H63" s="446"/>
      <c r="I63" s="1532"/>
      <c r="J63" s="892"/>
      <c r="K63" s="893"/>
      <c r="L63" s="679">
        <f t="shared" ref="L63:L66" si="24">I63+J63+K63</f>
        <v>0</v>
      </c>
      <c r="M63" s="2170">
        <v>20000</v>
      </c>
      <c r="N63" s="2171"/>
      <c r="O63" s="2172"/>
      <c r="P63" s="2173">
        <f t="shared" si="23"/>
        <v>20000</v>
      </c>
      <c r="Q63" s="1550"/>
      <c r="R63" s="269">
        <f t="shared" si="1"/>
        <v>0</v>
      </c>
      <c r="S63" s="1129"/>
      <c r="T63" s="339">
        <f t="shared" si="7"/>
        <v>20000</v>
      </c>
      <c r="U63" s="339"/>
    </row>
    <row r="64" spans="1:21" s="447" customFormat="1" ht="20.25" customHeight="1">
      <c r="A64" s="1282"/>
      <c r="B64" s="1283"/>
      <c r="C64" s="1284"/>
      <c r="D64" s="2177" t="s">
        <v>1669</v>
      </c>
      <c r="E64" s="1533"/>
      <c r="F64" s="888"/>
      <c r="G64" s="889"/>
      <c r="H64" s="446"/>
      <c r="I64" s="1532">
        <v>20000</v>
      </c>
      <c r="J64" s="892"/>
      <c r="K64" s="893"/>
      <c r="L64" s="679">
        <f t="shared" si="24"/>
        <v>20000</v>
      </c>
      <c r="M64" s="2174"/>
      <c r="N64" s="2171"/>
      <c r="O64" s="2172"/>
      <c r="P64" s="2173">
        <f t="shared" si="23"/>
        <v>0</v>
      </c>
      <c r="Q64" s="1550"/>
      <c r="R64" s="269">
        <f t="shared" si="1"/>
        <v>0</v>
      </c>
      <c r="S64" s="1129"/>
      <c r="T64" s="339">
        <f t="shared" si="7"/>
        <v>0</v>
      </c>
      <c r="U64" s="339"/>
    </row>
    <row r="65" spans="1:21" s="447" customFormat="1" ht="20.25" customHeight="1">
      <c r="A65" s="1282"/>
      <c r="B65" s="1283"/>
      <c r="C65" s="1284"/>
      <c r="D65" s="2177" t="s">
        <v>1670</v>
      </c>
      <c r="E65" s="1533"/>
      <c r="F65" s="888"/>
      <c r="G65" s="889"/>
      <c r="H65" s="446"/>
      <c r="I65" s="1532">
        <v>40000</v>
      </c>
      <c r="J65" s="892"/>
      <c r="K65" s="893"/>
      <c r="L65" s="679">
        <f t="shared" si="24"/>
        <v>40000</v>
      </c>
      <c r="M65" s="2174"/>
      <c r="N65" s="2171"/>
      <c r="O65" s="2172"/>
      <c r="P65" s="2173">
        <f t="shared" si="23"/>
        <v>0</v>
      </c>
      <c r="Q65" s="1550"/>
      <c r="R65" s="269">
        <f t="shared" si="1"/>
        <v>0</v>
      </c>
      <c r="S65" s="1129"/>
      <c r="T65" s="339">
        <f t="shared" si="7"/>
        <v>0</v>
      </c>
      <c r="U65" s="339"/>
    </row>
    <row r="66" spans="1:21" s="447" customFormat="1" ht="20.25" customHeight="1">
      <c r="A66" s="1282"/>
      <c r="B66" s="1283"/>
      <c r="C66" s="1284"/>
      <c r="D66" s="2177" t="s">
        <v>1671</v>
      </c>
      <c r="E66" s="1533"/>
      <c r="F66" s="888"/>
      <c r="G66" s="889"/>
      <c r="H66" s="446"/>
      <c r="I66" s="1532"/>
      <c r="J66" s="892"/>
      <c r="K66" s="893"/>
      <c r="L66" s="679">
        <f t="shared" si="24"/>
        <v>0</v>
      </c>
      <c r="M66" s="2174"/>
      <c r="N66" s="2171"/>
      <c r="O66" s="2175"/>
      <c r="P66" s="2176">
        <f t="shared" si="23"/>
        <v>0</v>
      </c>
      <c r="Q66" s="1550"/>
      <c r="R66" s="269">
        <f t="shared" si="1"/>
        <v>0</v>
      </c>
      <c r="S66" s="1129"/>
      <c r="T66" s="339">
        <f t="shared" si="7"/>
        <v>0</v>
      </c>
      <c r="U66" s="339"/>
    </row>
    <row r="67" spans="1:21" s="335" customFormat="1" ht="21" customHeight="1">
      <c r="A67" s="1210">
        <v>111</v>
      </c>
      <c r="B67" s="1217" t="s">
        <v>417</v>
      </c>
      <c r="C67" s="1212" t="s">
        <v>404</v>
      </c>
      <c r="D67" s="1196" t="s">
        <v>418</v>
      </c>
      <c r="E67" s="1529">
        <f>SUM(E68:E70)</f>
        <v>815000</v>
      </c>
      <c r="F67" s="888">
        <f>SUM(F68:F70)</f>
        <v>0</v>
      </c>
      <c r="G67" s="889">
        <f>SUM(G68:G70)</f>
        <v>0</v>
      </c>
      <c r="H67" s="446">
        <f>SUM(H68:H70)</f>
        <v>815000</v>
      </c>
      <c r="I67" s="1533">
        <f>SUM(I68:I70)</f>
        <v>855000</v>
      </c>
      <c r="J67" s="892"/>
      <c r="K67" s="893"/>
      <c r="L67" s="1566">
        <f>SUM(L68:L70)</f>
        <v>855000</v>
      </c>
      <c r="M67" s="1529">
        <f>SUM(M68:M71)</f>
        <v>715000</v>
      </c>
      <c r="N67" s="888">
        <f>SUM(N68:N70)</f>
        <v>0</v>
      </c>
      <c r="O67" s="889">
        <f>SUM(O68:O70)</f>
        <v>0</v>
      </c>
      <c r="P67" s="446">
        <f>SUM(P68:P71)</f>
        <v>715000</v>
      </c>
      <c r="Q67" s="1550">
        <f t="shared" si="0"/>
        <v>87.730061349693258</v>
      </c>
      <c r="R67" s="269">
        <f t="shared" si="1"/>
        <v>0</v>
      </c>
      <c r="S67" s="1129"/>
      <c r="T67" s="339">
        <f t="shared" si="7"/>
        <v>-100000</v>
      </c>
      <c r="U67" s="339">
        <f>T67-Q61</f>
        <v>-100000</v>
      </c>
    </row>
    <row r="68" spans="1:21" s="335" customFormat="1">
      <c r="A68" s="1214"/>
      <c r="B68" s="1211" t="s">
        <v>417</v>
      </c>
      <c r="C68" s="1212"/>
      <c r="D68" s="1201" t="s">
        <v>419</v>
      </c>
      <c r="E68" s="1537">
        <v>800000</v>
      </c>
      <c r="F68" s="892"/>
      <c r="G68" s="893"/>
      <c r="H68" s="679">
        <f>SUM(E68:G68)</f>
        <v>800000</v>
      </c>
      <c r="I68" s="1534">
        <v>820000</v>
      </c>
      <c r="J68" s="888"/>
      <c r="K68" s="889"/>
      <c r="L68" s="1567">
        <v>820000</v>
      </c>
      <c r="M68" s="1534">
        <v>700000</v>
      </c>
      <c r="N68" s="888"/>
      <c r="O68" s="991"/>
      <c r="P68" s="1519">
        <f>SUM(M68:O68)</f>
        <v>700000</v>
      </c>
      <c r="Q68" s="1550">
        <f t="shared" si="0"/>
        <v>87.5</v>
      </c>
      <c r="R68" s="269">
        <f t="shared" si="1"/>
        <v>0</v>
      </c>
      <c r="S68" s="1130"/>
      <c r="T68" s="339">
        <f t="shared" si="7"/>
        <v>-100000</v>
      </c>
      <c r="U68" s="339">
        <f>T68-Q67</f>
        <v>-100087.73006134969</v>
      </c>
    </row>
    <row r="69" spans="1:21" s="335" customFormat="1">
      <c r="A69" s="1214" t="s">
        <v>319</v>
      </c>
      <c r="B69" s="1211" t="s">
        <v>417</v>
      </c>
      <c r="C69" s="1212"/>
      <c r="D69" s="1201" t="s">
        <v>420</v>
      </c>
      <c r="E69" s="1537">
        <v>10000</v>
      </c>
      <c r="F69" s="892"/>
      <c r="G69" s="893"/>
      <c r="H69" s="679">
        <f t="shared" ref="H69:H70" si="25">SUM(E69:G69)</f>
        <v>10000</v>
      </c>
      <c r="I69" s="1547">
        <v>25000</v>
      </c>
      <c r="J69" s="1169"/>
      <c r="K69" s="1548"/>
      <c r="L69" s="1567">
        <v>25000</v>
      </c>
      <c r="M69" s="1547"/>
      <c r="N69" s="1169"/>
      <c r="O69" s="1549"/>
      <c r="P69" s="1519">
        <f t="shared" ref="P69:P71" si="26">SUM(M69:O69)</f>
        <v>0</v>
      </c>
      <c r="Q69" s="1550">
        <f t="shared" si="0"/>
        <v>0</v>
      </c>
      <c r="R69" s="269">
        <f t="shared" si="1"/>
        <v>0</v>
      </c>
      <c r="S69" s="1130"/>
      <c r="T69" s="339">
        <f t="shared" si="7"/>
        <v>-10000</v>
      </c>
      <c r="U69" s="339" t="e">
        <f>T69-#REF!</f>
        <v>#REF!</v>
      </c>
    </row>
    <row r="70" spans="1:21" s="335" customFormat="1">
      <c r="A70" s="1214" t="s">
        <v>319</v>
      </c>
      <c r="B70" s="1211" t="s">
        <v>417</v>
      </c>
      <c r="C70" s="1219"/>
      <c r="D70" s="1515" t="s">
        <v>421</v>
      </c>
      <c r="E70" s="1537">
        <v>5000</v>
      </c>
      <c r="F70" s="892"/>
      <c r="G70" s="893"/>
      <c r="H70" s="1261">
        <f t="shared" si="25"/>
        <v>5000</v>
      </c>
      <c r="I70" s="1537">
        <v>10000</v>
      </c>
      <c r="J70" s="892"/>
      <c r="K70" s="893"/>
      <c r="L70" s="1567">
        <v>10000</v>
      </c>
      <c r="M70" s="1537"/>
      <c r="N70" s="892"/>
      <c r="O70" s="896"/>
      <c r="P70" s="1519">
        <f t="shared" si="26"/>
        <v>0</v>
      </c>
      <c r="Q70" s="1551"/>
      <c r="R70" s="269">
        <f t="shared" si="1"/>
        <v>0</v>
      </c>
      <c r="S70" s="1130"/>
      <c r="T70" s="339">
        <f t="shared" si="7"/>
        <v>-5000</v>
      </c>
      <c r="U70" s="339">
        <f>T70-Q69</f>
        <v>-5000</v>
      </c>
    </row>
    <row r="71" spans="1:21" s="335" customFormat="1">
      <c r="A71" s="1446"/>
      <c r="B71" s="1447"/>
      <c r="C71" s="1496"/>
      <c r="D71" s="1497" t="s">
        <v>1673</v>
      </c>
      <c r="E71" s="1537"/>
      <c r="F71" s="892"/>
      <c r="G71" s="893"/>
      <c r="H71" s="1261"/>
      <c r="I71" s="1537"/>
      <c r="J71" s="892"/>
      <c r="K71" s="893"/>
      <c r="L71" s="2191"/>
      <c r="M71" s="1537">
        <v>15000</v>
      </c>
      <c r="N71" s="892"/>
      <c r="O71" s="896"/>
      <c r="P71" s="1519">
        <f t="shared" si="26"/>
        <v>15000</v>
      </c>
      <c r="Q71" s="1551"/>
      <c r="R71" s="269">
        <f t="shared" ref="R71:R74" si="27">M71+N71+O71-P71</f>
        <v>0</v>
      </c>
      <c r="S71" s="1130"/>
      <c r="T71" s="339">
        <f t="shared" ref="T71:T74" si="28">M71-E71</f>
        <v>15000</v>
      </c>
      <c r="U71" s="339"/>
    </row>
    <row r="72" spans="1:21">
      <c r="A72" s="1214"/>
      <c r="B72" s="1211"/>
      <c r="C72" s="1223"/>
      <c r="D72" s="1516" t="s">
        <v>1523</v>
      </c>
      <c r="E72" s="1539">
        <f>SUM(E9:E13,E14:E16,E19:E42,E44:E52,E54:E56,E59:E60,E61,E68:E69,E57,E70)</f>
        <v>6884570</v>
      </c>
      <c r="F72" s="1540"/>
      <c r="G72" s="1541">
        <f>SUM(G60)</f>
        <v>1500</v>
      </c>
      <c r="H72" s="1524">
        <f>E72+F72+G72</f>
        <v>6886070</v>
      </c>
      <c r="I72" s="1539"/>
      <c r="J72" s="1542"/>
      <c r="K72" s="1541"/>
      <c r="L72" s="2192"/>
      <c r="M72" s="2179"/>
      <c r="N72" s="2180"/>
      <c r="O72" s="2181"/>
      <c r="P72" s="2182"/>
      <c r="Q72" s="2183"/>
      <c r="R72" s="269">
        <f t="shared" si="27"/>
        <v>0</v>
      </c>
      <c r="S72" s="1131"/>
      <c r="T72" s="339">
        <f t="shared" si="28"/>
        <v>-6884570</v>
      </c>
    </row>
    <row r="73" spans="1:21">
      <c r="A73" s="1214"/>
      <c r="B73" s="1211"/>
      <c r="C73" s="1223"/>
      <c r="D73" s="1516" t="s">
        <v>1343</v>
      </c>
      <c r="E73" s="1539"/>
      <c r="F73" s="1542"/>
      <c r="G73" s="1541"/>
      <c r="H73" s="1524"/>
      <c r="I73" s="1539"/>
      <c r="J73" s="1542"/>
      <c r="K73" s="1541"/>
      <c r="L73" s="2192"/>
      <c r="M73" s="2184"/>
      <c r="N73" s="2185"/>
      <c r="O73" s="2186"/>
      <c r="P73" s="2187"/>
      <c r="Q73" s="2183"/>
      <c r="R73" s="269">
        <f t="shared" si="27"/>
        <v>0</v>
      </c>
      <c r="S73" s="1131"/>
      <c r="T73" s="339">
        <f t="shared" si="28"/>
        <v>0</v>
      </c>
    </row>
    <row r="74" spans="1:21" ht="16.5" thickBot="1">
      <c r="A74" s="1224"/>
      <c r="B74" s="1225"/>
      <c r="C74" s="848"/>
      <c r="D74" s="1517"/>
      <c r="E74" s="1543">
        <f>E72+E73</f>
        <v>6884570</v>
      </c>
      <c r="F74" s="1544">
        <f t="shared" ref="F74:H74" si="29">F72+F73</f>
        <v>0</v>
      </c>
      <c r="G74" s="1545">
        <f t="shared" si="29"/>
        <v>1500</v>
      </c>
      <c r="H74" s="1525">
        <f t="shared" si="29"/>
        <v>6886070</v>
      </c>
      <c r="I74" s="1543"/>
      <c r="J74" s="1544"/>
      <c r="K74" s="1545"/>
      <c r="L74" s="2193"/>
      <c r="M74" s="2188"/>
      <c r="N74" s="2189"/>
      <c r="O74" s="2190"/>
      <c r="P74" s="2178"/>
      <c r="Q74" s="2169"/>
      <c r="R74" s="269">
        <f t="shared" si="27"/>
        <v>0</v>
      </c>
      <c r="S74" s="1131"/>
      <c r="T74" s="339">
        <f t="shared" si="28"/>
        <v>-6884570</v>
      </c>
    </row>
    <row r="75" spans="1:21" ht="16.5" thickTop="1"/>
    <row r="76" spans="1:21">
      <c r="H76" s="209">
        <f>H6</f>
        <v>6886070</v>
      </c>
      <c r="I76" s="209"/>
      <c r="J76" s="209"/>
      <c r="K76" s="209"/>
      <c r="L76" s="209"/>
    </row>
  </sheetData>
  <mergeCells count="8">
    <mergeCell ref="E2:H2"/>
    <mergeCell ref="Q2:Q3"/>
    <mergeCell ref="A2:A3"/>
    <mergeCell ref="B2:B3"/>
    <mergeCell ref="C2:C3"/>
    <mergeCell ref="D2:D3"/>
    <mergeCell ref="M2:P2"/>
    <mergeCell ref="I2:L2"/>
  </mergeCells>
  <phoneticPr fontId="3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&amp;RPrilog br.2</oddHeader>
    <oddFooter>&amp;L&amp;"Times New Roman,Uobičajeno"&amp;14&amp;K00-029Budžet Grada Mostara za 2022. godinu-Služba za odgoj, obrazovanje, mlade i sport&amp;C&amp;"Times New Roman,Uobičajeno"&amp;14&amp;P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8"/>
  <dimension ref="A1:X59"/>
  <sheetViews>
    <sheetView view="pageBreakPreview" topLeftCell="A38" zoomScale="84" zoomScaleSheetLayoutView="84" workbookViewId="0">
      <selection activeCell="D2" sqref="D2:D3"/>
    </sheetView>
  </sheetViews>
  <sheetFormatPr defaultRowHeight="19.5"/>
  <cols>
    <col min="2" max="3" width="9" bestFit="1" customWidth="1"/>
    <col min="4" max="4" width="42.85546875" customWidth="1"/>
    <col min="5" max="5" width="10.7109375" customWidth="1"/>
    <col min="7" max="7" width="10.28515625" customWidth="1"/>
    <col min="8" max="16" width="12" customWidth="1"/>
    <col min="17" max="17" width="7.28515625" customWidth="1"/>
    <col min="18" max="18" width="13.28515625" style="1132" customWidth="1"/>
    <col min="19" max="19" width="10.85546875" style="335" customWidth="1"/>
    <col min="20" max="20" width="14.7109375" style="209" customWidth="1"/>
  </cols>
  <sheetData>
    <row r="1" spans="1:24" ht="31.15" customHeight="1" thickBot="1">
      <c r="D1" s="620" t="s">
        <v>1475</v>
      </c>
    </row>
    <row r="2" spans="1:24" ht="38.25" customHeight="1" thickTop="1" thickBot="1">
      <c r="A2" s="3415" t="s">
        <v>200</v>
      </c>
      <c r="B2" s="3417" t="s">
        <v>201</v>
      </c>
      <c r="C2" s="3417" t="s">
        <v>202</v>
      </c>
      <c r="D2" s="3419" t="s">
        <v>1</v>
      </c>
      <c r="E2" s="3421" t="s">
        <v>1278</v>
      </c>
      <c r="F2" s="3422"/>
      <c r="G2" s="3422"/>
      <c r="H2" s="3423"/>
      <c r="I2" s="3421" t="s">
        <v>1659</v>
      </c>
      <c r="J2" s="3422"/>
      <c r="K2" s="3422"/>
      <c r="L2" s="3423"/>
      <c r="M2" s="3421" t="s">
        <v>1652</v>
      </c>
      <c r="N2" s="3422"/>
      <c r="O2" s="3422"/>
      <c r="P2" s="3423"/>
      <c r="Q2" s="3413" t="s">
        <v>49</v>
      </c>
      <c r="R2" s="1133"/>
      <c r="S2" s="461"/>
    </row>
    <row r="3" spans="1:24" ht="115.9" customHeight="1" thickTop="1">
      <c r="A3" s="3416"/>
      <c r="B3" s="3418"/>
      <c r="C3" s="3418"/>
      <c r="D3" s="3420"/>
      <c r="E3" s="2330" t="s">
        <v>50</v>
      </c>
      <c r="F3" s="2331" t="s">
        <v>162</v>
      </c>
      <c r="G3" s="2332" t="s">
        <v>52</v>
      </c>
      <c r="H3" s="2333" t="s">
        <v>606</v>
      </c>
      <c r="I3" s="2330" t="s">
        <v>50</v>
      </c>
      <c r="J3" s="2331" t="s">
        <v>162</v>
      </c>
      <c r="K3" s="2332" t="s">
        <v>52</v>
      </c>
      <c r="L3" s="2333" t="s">
        <v>606</v>
      </c>
      <c r="M3" s="2330" t="s">
        <v>50</v>
      </c>
      <c r="N3" s="2331" t="s">
        <v>162</v>
      </c>
      <c r="O3" s="2332" t="s">
        <v>52</v>
      </c>
      <c r="P3" s="2333" t="s">
        <v>606</v>
      </c>
      <c r="Q3" s="3414"/>
      <c r="R3" s="1133"/>
      <c r="S3" s="461"/>
    </row>
    <row r="4" spans="1:24" ht="27.75" customHeight="1">
      <c r="A4" s="2304"/>
      <c r="B4" s="2334"/>
      <c r="C4" s="2334"/>
      <c r="D4" s="2324"/>
      <c r="E4" s="2311">
        <v>1</v>
      </c>
      <c r="F4" s="2312">
        <v>2</v>
      </c>
      <c r="G4" s="2313">
        <v>3</v>
      </c>
      <c r="H4" s="2310" t="s">
        <v>653</v>
      </c>
      <c r="I4" s="2311">
        <v>5</v>
      </c>
      <c r="J4" s="2312">
        <v>6</v>
      </c>
      <c r="K4" s="2313">
        <v>7</v>
      </c>
      <c r="L4" s="2310" t="s">
        <v>54</v>
      </c>
      <c r="M4" s="2311">
        <v>9</v>
      </c>
      <c r="N4" s="2312">
        <v>10</v>
      </c>
      <c r="O4" s="2313">
        <v>11</v>
      </c>
      <c r="P4" s="2310" t="s">
        <v>1501</v>
      </c>
      <c r="Q4" s="2335">
        <v>14</v>
      </c>
      <c r="R4" s="1134"/>
      <c r="S4" s="462"/>
      <c r="T4" s="209">
        <f>'[7]PRIH REBALANS'!$AJ$737+'[7]PRIH REBALANS'!$AI$738+'[7]PRIH REBALANS'!$AI$754+'[7]PRIH REBALANS'!$AI$759+'[7]PRIH REBALANS'!$AI$761+'[7]PRIH REBALANS'!$AI$763</f>
        <v>583699</v>
      </c>
      <c r="U4" s="209">
        <f>SUM('[7]PRIH REBALANS'!$AH$737:$AJ$737)</f>
        <v>660198.05000000005</v>
      </c>
    </row>
    <row r="5" spans="1:24" ht="18" customHeight="1">
      <c r="A5" s="2304"/>
      <c r="B5" s="2334"/>
      <c r="C5" s="2334"/>
      <c r="D5" s="2329" t="s">
        <v>827</v>
      </c>
      <c r="E5" s="2311"/>
      <c r="F5" s="2312"/>
      <c r="G5" s="2313"/>
      <c r="H5" s="2310"/>
      <c r="I5" s="2311"/>
      <c r="J5" s="2312"/>
      <c r="K5" s="2313"/>
      <c r="L5" s="2310"/>
      <c r="M5" s="2311"/>
      <c r="N5" s="2312"/>
      <c r="O5" s="2313"/>
      <c r="P5" s="2310"/>
      <c r="Q5" s="2335"/>
      <c r="R5" s="1134"/>
      <c r="S5" s="462"/>
    </row>
    <row r="6" spans="1:24" ht="34.5" customHeight="1">
      <c r="A6" s="2304"/>
      <c r="B6" s="2334"/>
      <c r="C6" s="2334"/>
      <c r="D6" s="2329" t="s">
        <v>708</v>
      </c>
      <c r="E6" s="2336">
        <f>SUM(E7,E24:E31,E38,E41:E43,E46)</f>
        <v>3448130</v>
      </c>
      <c r="F6" s="2337">
        <f>SUM(F7,F24:F31,F38,F41:F43,F46)</f>
        <v>76499</v>
      </c>
      <c r="G6" s="2338">
        <f>SUM(G7,G24:G31,G38,G41:G43,G46,G23)</f>
        <v>583699</v>
      </c>
      <c r="H6" s="2339">
        <f>SUM(H7,H24:H31,H38,H41:H43,H46,H23)</f>
        <v>4108328</v>
      </c>
      <c r="I6" s="2336">
        <f>SUM(I7+I31+I38+I41+I42+I43+I46)</f>
        <v>3428130</v>
      </c>
      <c r="J6" s="2337">
        <f>SUM(J24+J26+J27)</f>
        <v>11000</v>
      </c>
      <c r="K6" s="2338">
        <f>SUM(K29)</f>
        <v>0</v>
      </c>
      <c r="L6" s="2339">
        <f>SUM(L7+L24+L26+L27+L29+L31+L38+L41+L42+L43+L46)</f>
        <v>3465986</v>
      </c>
      <c r="M6" s="2336">
        <f>SUM(M7,M24:M31,M38,M41:M43,M46)</f>
        <v>3418130</v>
      </c>
      <c r="N6" s="2337">
        <f>SUM(N7,N24:N31,N38,N41:N43,N46)</f>
        <v>11000</v>
      </c>
      <c r="O6" s="2338">
        <f>SUM(O7,O24:O31,O38,O41:O43,O46,O23)</f>
        <v>0</v>
      </c>
      <c r="P6" s="2339">
        <f>SUM(P7,P24:P31,P38,P41:P43,P46,P23)</f>
        <v>3429130</v>
      </c>
      <c r="Q6" s="2340">
        <f>P6/H6*100</f>
        <v>83.467775698532336</v>
      </c>
      <c r="R6" s="1135">
        <f>M6+N6+O6+-P6</f>
        <v>0</v>
      </c>
      <c r="S6" s="463">
        <f t="shared" ref="S6:S47" si="0">M6+N6+O6-P6</f>
        <v>0</v>
      </c>
      <c r="T6" s="209">
        <f>H6-S6</f>
        <v>4108328</v>
      </c>
      <c r="U6" s="209">
        <f>T6-Q6</f>
        <v>4108244.5322243012</v>
      </c>
      <c r="V6" s="209">
        <f>'[2]PRIH REBALANS'!$AG$737</f>
        <v>3448130</v>
      </c>
      <c r="W6" s="209">
        <f>'[2]PRIH REBALANS'!$AH$737+'[2]PRIH REBALANS'!$AI$737+'[2]PRIH REBALANS'!$AJ$737</f>
        <v>660198.05000000005</v>
      </c>
      <c r="X6" s="209">
        <f>'[2]PRIH REBALANS'!$AG$737</f>
        <v>3448130</v>
      </c>
    </row>
    <row r="7" spans="1:24" ht="31.5" customHeight="1">
      <c r="A7" s="363">
        <v>111</v>
      </c>
      <c r="B7" s="364">
        <v>1091</v>
      </c>
      <c r="C7" s="365">
        <v>614324</v>
      </c>
      <c r="D7" s="1507" t="s">
        <v>423</v>
      </c>
      <c r="E7" s="1262">
        <f>SUM(E8:E22)</f>
        <v>242690</v>
      </c>
      <c r="F7" s="1263">
        <f>SUM(F8:F17)</f>
        <v>0</v>
      </c>
      <c r="G7" s="1264">
        <f>SUM(G8:G17)</f>
        <v>15000</v>
      </c>
      <c r="H7" s="1257">
        <f>SUM(H8:H22)</f>
        <v>257690</v>
      </c>
      <c r="I7" s="1262">
        <f>SUM(I8:I22)</f>
        <v>242690</v>
      </c>
      <c r="J7" s="1263"/>
      <c r="K7" s="1264"/>
      <c r="L7" s="1257">
        <f>SUM(L8:L22)</f>
        <v>242690</v>
      </c>
      <c r="M7" s="1262">
        <f>SUM(M8:M22)</f>
        <v>242690</v>
      </c>
      <c r="N7" s="1263">
        <f>SUM(N8:N17)</f>
        <v>0</v>
      </c>
      <c r="O7" s="1264">
        <f>SUM(O8:O17)</f>
        <v>0</v>
      </c>
      <c r="P7" s="1257">
        <f>SUM(P8:P22)</f>
        <v>242690</v>
      </c>
      <c r="Q7" s="1197">
        <f>P7/H7*100</f>
        <v>94.179052349722539</v>
      </c>
      <c r="R7" s="1135">
        <f t="shared" ref="R7:R53" si="1">M7+N7+O7+-P7</f>
        <v>0</v>
      </c>
      <c r="S7" s="463">
        <f t="shared" si="0"/>
        <v>0</v>
      </c>
      <c r="T7" s="209">
        <f>'[2]PRIH REBALANS'!$AK$738</f>
        <v>257690</v>
      </c>
      <c r="U7" s="209">
        <f t="shared" ref="U7:U42" si="2">T7-Q7</f>
        <v>257595.82094765027</v>
      </c>
      <c r="W7" s="209">
        <f>SUM(F6:G6)</f>
        <v>660198</v>
      </c>
    </row>
    <row r="8" spans="1:24" ht="34.5" customHeight="1">
      <c r="A8" s="366"/>
      <c r="B8" s="367"/>
      <c r="C8" s="368"/>
      <c r="D8" s="1285" t="s">
        <v>761</v>
      </c>
      <c r="E8" s="1268">
        <v>110690</v>
      </c>
      <c r="F8" s="1266"/>
      <c r="G8" s="1267"/>
      <c r="H8" s="1259">
        <f>SUM(E8:G8)</f>
        <v>110690</v>
      </c>
      <c r="I8" s="1268">
        <v>110690</v>
      </c>
      <c r="J8" s="1266"/>
      <c r="K8" s="1267"/>
      <c r="L8" s="1258">
        <v>110690</v>
      </c>
      <c r="M8" s="1268">
        <v>110690</v>
      </c>
      <c r="N8" s="1266"/>
      <c r="O8" s="1267"/>
      <c r="P8" s="1259">
        <f>SUM(M8:O8)</f>
        <v>110690</v>
      </c>
      <c r="Q8" s="1197">
        <f t="shared" ref="Q8:Q48" si="3">P8/H8*100</f>
        <v>100</v>
      </c>
      <c r="R8" s="1135">
        <f t="shared" si="1"/>
        <v>0</v>
      </c>
      <c r="S8" s="463">
        <f t="shared" si="0"/>
        <v>0</v>
      </c>
      <c r="T8" s="209">
        <f t="shared" ref="T8:T48" si="4">H8-G8-F8-E8</f>
        <v>0</v>
      </c>
      <c r="U8" s="209">
        <f t="shared" si="2"/>
        <v>-100</v>
      </c>
    </row>
    <row r="9" spans="1:24" ht="27.75" customHeight="1">
      <c r="A9" s="366"/>
      <c r="B9" s="367"/>
      <c r="C9" s="368"/>
      <c r="D9" s="1285" t="s">
        <v>425</v>
      </c>
      <c r="E9" s="1268">
        <v>5000</v>
      </c>
      <c r="F9" s="1266"/>
      <c r="G9" s="1267">
        <v>5000</v>
      </c>
      <c r="H9" s="1259">
        <f t="shared" ref="H9:H22" si="5">SUM(E9:G9)</f>
        <v>10000</v>
      </c>
      <c r="I9" s="1268">
        <v>5000</v>
      </c>
      <c r="J9" s="1266"/>
      <c r="K9" s="1267"/>
      <c r="L9" s="1258">
        <v>5000</v>
      </c>
      <c r="M9" s="1268">
        <v>5000</v>
      </c>
      <c r="N9" s="1266"/>
      <c r="O9" s="1267"/>
      <c r="P9" s="1259">
        <f t="shared" ref="P9:P30" si="6">SUM(M9:O9)</f>
        <v>5000</v>
      </c>
      <c r="Q9" s="1197">
        <f t="shared" si="3"/>
        <v>50</v>
      </c>
      <c r="R9" s="1135">
        <f t="shared" si="1"/>
        <v>0</v>
      </c>
      <c r="S9" s="463">
        <f t="shared" si="0"/>
        <v>0</v>
      </c>
      <c r="T9" s="209">
        <f t="shared" si="4"/>
        <v>0</v>
      </c>
      <c r="U9" s="209">
        <f t="shared" si="2"/>
        <v>-50</v>
      </c>
    </row>
    <row r="10" spans="1:24" ht="27.75" customHeight="1">
      <c r="A10" s="366"/>
      <c r="B10" s="367"/>
      <c r="C10" s="368"/>
      <c r="D10" s="1285" t="s">
        <v>426</v>
      </c>
      <c r="E10" s="1268">
        <v>5000</v>
      </c>
      <c r="F10" s="1266"/>
      <c r="G10" s="1267">
        <v>5000</v>
      </c>
      <c r="H10" s="1259">
        <f t="shared" si="5"/>
        <v>10000</v>
      </c>
      <c r="I10" s="1268">
        <v>5000</v>
      </c>
      <c r="J10" s="1266"/>
      <c r="K10" s="1267"/>
      <c r="L10" s="1258">
        <v>5000</v>
      </c>
      <c r="M10" s="1268">
        <v>5000</v>
      </c>
      <c r="N10" s="1266"/>
      <c r="O10" s="1267"/>
      <c r="P10" s="1259">
        <f t="shared" si="6"/>
        <v>5000</v>
      </c>
      <c r="Q10" s="1197">
        <f t="shared" si="3"/>
        <v>50</v>
      </c>
      <c r="R10" s="1135">
        <f t="shared" si="1"/>
        <v>0</v>
      </c>
      <c r="S10" s="463">
        <f t="shared" si="0"/>
        <v>0</v>
      </c>
      <c r="T10" s="209">
        <f t="shared" si="4"/>
        <v>0</v>
      </c>
      <c r="U10" s="209">
        <f t="shared" si="2"/>
        <v>-50</v>
      </c>
    </row>
    <row r="11" spans="1:24" ht="27.75" customHeight="1">
      <c r="A11" s="366"/>
      <c r="B11" s="367"/>
      <c r="C11" s="368"/>
      <c r="D11" s="1285" t="s">
        <v>762</v>
      </c>
      <c r="E11" s="1268">
        <v>5000</v>
      </c>
      <c r="F11" s="1266"/>
      <c r="G11" s="1267">
        <v>5000</v>
      </c>
      <c r="H11" s="1259">
        <f t="shared" si="5"/>
        <v>10000</v>
      </c>
      <c r="I11" s="1268">
        <v>5000</v>
      </c>
      <c r="J11" s="1266"/>
      <c r="K11" s="1267"/>
      <c r="L11" s="1258">
        <v>5000</v>
      </c>
      <c r="M11" s="1268">
        <v>5000</v>
      </c>
      <c r="N11" s="1266"/>
      <c r="O11" s="1267"/>
      <c r="P11" s="1259">
        <f t="shared" si="6"/>
        <v>5000</v>
      </c>
      <c r="Q11" s="1197">
        <f t="shared" si="3"/>
        <v>50</v>
      </c>
      <c r="R11" s="1135">
        <f t="shared" si="1"/>
        <v>0</v>
      </c>
      <c r="S11" s="463">
        <f t="shared" si="0"/>
        <v>0</v>
      </c>
      <c r="T11" s="209">
        <f t="shared" si="4"/>
        <v>0</v>
      </c>
      <c r="U11" s="209">
        <f t="shared" si="2"/>
        <v>-50</v>
      </c>
    </row>
    <row r="12" spans="1:24" ht="27.75" customHeight="1">
      <c r="A12" s="366"/>
      <c r="B12" s="367"/>
      <c r="C12" s="368"/>
      <c r="D12" s="1285" t="s">
        <v>427</v>
      </c>
      <c r="E12" s="1268">
        <v>20000</v>
      </c>
      <c r="F12" s="1266"/>
      <c r="G12" s="1267"/>
      <c r="H12" s="1259">
        <f t="shared" si="5"/>
        <v>20000</v>
      </c>
      <c r="I12" s="1268">
        <v>20000</v>
      </c>
      <c r="J12" s="1266"/>
      <c r="K12" s="1267"/>
      <c r="L12" s="1258">
        <v>20000</v>
      </c>
      <c r="M12" s="1268">
        <v>20000</v>
      </c>
      <c r="N12" s="1266"/>
      <c r="O12" s="1267"/>
      <c r="P12" s="1259">
        <f t="shared" si="6"/>
        <v>20000</v>
      </c>
      <c r="Q12" s="1197">
        <f t="shared" si="3"/>
        <v>100</v>
      </c>
      <c r="R12" s="1135">
        <f t="shared" si="1"/>
        <v>0</v>
      </c>
      <c r="S12" s="463">
        <f t="shared" si="0"/>
        <v>0</v>
      </c>
      <c r="T12" s="209">
        <f t="shared" si="4"/>
        <v>0</v>
      </c>
      <c r="U12" s="209">
        <f t="shared" si="2"/>
        <v>-100</v>
      </c>
    </row>
    <row r="13" spans="1:24" ht="27.75" customHeight="1">
      <c r="A13" s="366"/>
      <c r="B13" s="367"/>
      <c r="C13" s="368"/>
      <c r="D13" s="1285" t="s">
        <v>782</v>
      </c>
      <c r="E13" s="1268">
        <v>4000</v>
      </c>
      <c r="F13" s="1266"/>
      <c r="G13" s="1267"/>
      <c r="H13" s="1259">
        <f t="shared" si="5"/>
        <v>4000</v>
      </c>
      <c r="I13" s="1268">
        <v>4000</v>
      </c>
      <c r="J13" s="1266"/>
      <c r="K13" s="1267"/>
      <c r="L13" s="1258">
        <v>4000</v>
      </c>
      <c r="M13" s="1268">
        <v>4000</v>
      </c>
      <c r="N13" s="1266"/>
      <c r="O13" s="1267"/>
      <c r="P13" s="1259">
        <f t="shared" si="6"/>
        <v>4000</v>
      </c>
      <c r="Q13" s="1197">
        <f t="shared" si="3"/>
        <v>100</v>
      </c>
      <c r="R13" s="1135">
        <f t="shared" si="1"/>
        <v>0</v>
      </c>
      <c r="S13" s="463">
        <f t="shared" si="0"/>
        <v>0</v>
      </c>
      <c r="T13" s="209">
        <f t="shared" si="4"/>
        <v>0</v>
      </c>
      <c r="U13" s="209">
        <f t="shared" si="2"/>
        <v>-100</v>
      </c>
    </row>
    <row r="14" spans="1:24" ht="33" customHeight="1">
      <c r="A14" s="366"/>
      <c r="B14" s="367"/>
      <c r="C14" s="368"/>
      <c r="D14" s="1285" t="s">
        <v>428</v>
      </c>
      <c r="E14" s="1268">
        <v>4000</v>
      </c>
      <c r="F14" s="1266"/>
      <c r="G14" s="1267"/>
      <c r="H14" s="1259">
        <f t="shared" si="5"/>
        <v>4000</v>
      </c>
      <c r="I14" s="1268">
        <v>4000</v>
      </c>
      <c r="J14" s="1266"/>
      <c r="K14" s="1267"/>
      <c r="L14" s="1258">
        <v>4000</v>
      </c>
      <c r="M14" s="1268">
        <v>4000</v>
      </c>
      <c r="N14" s="1266"/>
      <c r="O14" s="1267"/>
      <c r="P14" s="1259">
        <f t="shared" si="6"/>
        <v>4000</v>
      </c>
      <c r="Q14" s="1197">
        <f t="shared" si="3"/>
        <v>100</v>
      </c>
      <c r="R14" s="1135">
        <f t="shared" si="1"/>
        <v>0</v>
      </c>
      <c r="S14" s="463">
        <f t="shared" si="0"/>
        <v>0</v>
      </c>
      <c r="T14" s="209">
        <f t="shared" si="4"/>
        <v>0</v>
      </c>
      <c r="U14" s="209">
        <f t="shared" si="2"/>
        <v>-100</v>
      </c>
    </row>
    <row r="15" spans="1:24" ht="27.75" customHeight="1">
      <c r="A15" s="366"/>
      <c r="B15" s="367"/>
      <c r="C15" s="368"/>
      <c r="D15" s="1285" t="s">
        <v>429</v>
      </c>
      <c r="E15" s="1268">
        <v>3000</v>
      </c>
      <c r="F15" s="1266"/>
      <c r="G15" s="1267"/>
      <c r="H15" s="1259">
        <f t="shared" si="5"/>
        <v>3000</v>
      </c>
      <c r="I15" s="1268">
        <v>3000</v>
      </c>
      <c r="J15" s="1266"/>
      <c r="K15" s="1267"/>
      <c r="L15" s="1258">
        <v>3000</v>
      </c>
      <c r="M15" s="1268">
        <v>3000</v>
      </c>
      <c r="N15" s="1266"/>
      <c r="O15" s="1267"/>
      <c r="P15" s="1259">
        <f t="shared" si="6"/>
        <v>3000</v>
      </c>
      <c r="Q15" s="1197">
        <f t="shared" si="3"/>
        <v>100</v>
      </c>
      <c r="R15" s="1135">
        <f t="shared" si="1"/>
        <v>0</v>
      </c>
      <c r="S15" s="463">
        <f t="shared" si="0"/>
        <v>0</v>
      </c>
      <c r="T15" s="209">
        <f t="shared" si="4"/>
        <v>0</v>
      </c>
      <c r="U15" s="209">
        <f t="shared" si="2"/>
        <v>-100</v>
      </c>
    </row>
    <row r="16" spans="1:24" ht="32.25" customHeight="1">
      <c r="A16" s="366"/>
      <c r="B16" s="367"/>
      <c r="C16" s="368"/>
      <c r="D16" s="1285" t="s">
        <v>763</v>
      </c>
      <c r="E16" s="1268">
        <v>3000</v>
      </c>
      <c r="F16" s="1266"/>
      <c r="G16" s="1267"/>
      <c r="H16" s="1259">
        <f t="shared" si="5"/>
        <v>3000</v>
      </c>
      <c r="I16" s="1268">
        <v>3000</v>
      </c>
      <c r="J16" s="1266"/>
      <c r="K16" s="1267"/>
      <c r="L16" s="1258">
        <v>3000</v>
      </c>
      <c r="M16" s="1268">
        <v>3000</v>
      </c>
      <c r="N16" s="1266"/>
      <c r="O16" s="1267"/>
      <c r="P16" s="1259">
        <f t="shared" si="6"/>
        <v>3000</v>
      </c>
      <c r="Q16" s="1197">
        <f t="shared" si="3"/>
        <v>100</v>
      </c>
      <c r="R16" s="1135">
        <f t="shared" si="1"/>
        <v>0</v>
      </c>
      <c r="S16" s="463">
        <f t="shared" si="0"/>
        <v>0</v>
      </c>
      <c r="T16" s="209">
        <f t="shared" si="4"/>
        <v>0</v>
      </c>
      <c r="U16" s="209">
        <f t="shared" si="2"/>
        <v>-100</v>
      </c>
    </row>
    <row r="17" spans="1:21" ht="27.75" customHeight="1">
      <c r="A17" s="366"/>
      <c r="B17" s="367"/>
      <c r="C17" s="368"/>
      <c r="D17" s="1285" t="s">
        <v>781</v>
      </c>
      <c r="E17" s="1268">
        <v>4000</v>
      </c>
      <c r="F17" s="1266"/>
      <c r="G17" s="1267"/>
      <c r="H17" s="1259">
        <f t="shared" si="5"/>
        <v>4000</v>
      </c>
      <c r="I17" s="1268">
        <v>4000</v>
      </c>
      <c r="J17" s="1266"/>
      <c r="K17" s="1267"/>
      <c r="L17" s="1258">
        <v>4000</v>
      </c>
      <c r="M17" s="1268">
        <v>4000</v>
      </c>
      <c r="N17" s="1266"/>
      <c r="O17" s="1267"/>
      <c r="P17" s="1259">
        <f t="shared" si="6"/>
        <v>4000</v>
      </c>
      <c r="Q17" s="1197">
        <f t="shared" si="3"/>
        <v>100</v>
      </c>
      <c r="R17" s="1135">
        <f t="shared" si="1"/>
        <v>0</v>
      </c>
      <c r="S17" s="463">
        <f t="shared" si="0"/>
        <v>0</v>
      </c>
      <c r="T17" s="209">
        <f t="shared" si="4"/>
        <v>0</v>
      </c>
      <c r="U17" s="209">
        <f t="shared" si="2"/>
        <v>-100</v>
      </c>
    </row>
    <row r="18" spans="1:21" ht="34.5" customHeight="1">
      <c r="A18" s="366"/>
      <c r="B18" s="367"/>
      <c r="C18" s="368"/>
      <c r="D18" s="1285" t="s">
        <v>783</v>
      </c>
      <c r="E18" s="1268">
        <v>4000</v>
      </c>
      <c r="F18" s="1266"/>
      <c r="G18" s="1267"/>
      <c r="H18" s="1259">
        <f t="shared" si="5"/>
        <v>4000</v>
      </c>
      <c r="I18" s="1268">
        <v>4000</v>
      </c>
      <c r="J18" s="1266"/>
      <c r="K18" s="1267"/>
      <c r="L18" s="1258">
        <v>4000</v>
      </c>
      <c r="M18" s="1268">
        <v>4000</v>
      </c>
      <c r="N18" s="1266"/>
      <c r="O18" s="1267"/>
      <c r="P18" s="1259">
        <f t="shared" si="6"/>
        <v>4000</v>
      </c>
      <c r="Q18" s="1197">
        <f t="shared" si="3"/>
        <v>100</v>
      </c>
      <c r="R18" s="1135">
        <f t="shared" si="1"/>
        <v>0</v>
      </c>
      <c r="S18" s="463">
        <f t="shared" si="0"/>
        <v>0</v>
      </c>
      <c r="T18" s="209">
        <f t="shared" si="4"/>
        <v>0</v>
      </c>
      <c r="U18" s="209">
        <f t="shared" si="2"/>
        <v>-100</v>
      </c>
    </row>
    <row r="19" spans="1:21" ht="27.75" customHeight="1">
      <c r="A19" s="366"/>
      <c r="B19" s="367"/>
      <c r="C19" s="368"/>
      <c r="D19" s="1285" t="s">
        <v>430</v>
      </c>
      <c r="E19" s="1268">
        <v>20000</v>
      </c>
      <c r="F19" s="1266"/>
      <c r="G19" s="1267"/>
      <c r="H19" s="1259">
        <f t="shared" si="5"/>
        <v>20000</v>
      </c>
      <c r="I19" s="1268">
        <v>20000</v>
      </c>
      <c r="J19" s="1266"/>
      <c r="K19" s="1267"/>
      <c r="L19" s="1258">
        <v>20000</v>
      </c>
      <c r="M19" s="1268">
        <v>20000</v>
      </c>
      <c r="N19" s="1266"/>
      <c r="O19" s="1267"/>
      <c r="P19" s="1259">
        <f t="shared" si="6"/>
        <v>20000</v>
      </c>
      <c r="Q19" s="1197">
        <f t="shared" si="3"/>
        <v>100</v>
      </c>
      <c r="R19" s="1135">
        <f t="shared" si="1"/>
        <v>0</v>
      </c>
      <c r="S19" s="463">
        <f t="shared" si="0"/>
        <v>0</v>
      </c>
      <c r="T19" s="209">
        <f t="shared" si="4"/>
        <v>0</v>
      </c>
      <c r="U19" s="209">
        <f t="shared" si="2"/>
        <v>-100</v>
      </c>
    </row>
    <row r="20" spans="1:21" ht="27.75" customHeight="1">
      <c r="A20" s="366"/>
      <c r="B20" s="367"/>
      <c r="C20" s="368"/>
      <c r="D20" s="1285" t="s">
        <v>431</v>
      </c>
      <c r="E20" s="1268">
        <v>25000</v>
      </c>
      <c r="F20" s="1266"/>
      <c r="G20" s="1267"/>
      <c r="H20" s="1259">
        <f t="shared" si="5"/>
        <v>25000</v>
      </c>
      <c r="I20" s="1268">
        <v>25000</v>
      </c>
      <c r="J20" s="1266"/>
      <c r="K20" s="1267"/>
      <c r="L20" s="1258">
        <v>25000</v>
      </c>
      <c r="M20" s="1268">
        <v>25000</v>
      </c>
      <c r="N20" s="1266"/>
      <c r="O20" s="1267"/>
      <c r="P20" s="1259">
        <f t="shared" si="6"/>
        <v>25000</v>
      </c>
      <c r="Q20" s="1197">
        <f t="shared" si="3"/>
        <v>100</v>
      </c>
      <c r="R20" s="1135">
        <f t="shared" si="1"/>
        <v>0</v>
      </c>
      <c r="S20" s="463">
        <f t="shared" si="0"/>
        <v>0</v>
      </c>
      <c r="T20" s="209">
        <f t="shared" si="4"/>
        <v>0</v>
      </c>
      <c r="U20" s="209">
        <f t="shared" si="2"/>
        <v>-100</v>
      </c>
    </row>
    <row r="21" spans="1:21" ht="27.75" customHeight="1">
      <c r="A21" s="366"/>
      <c r="B21" s="367"/>
      <c r="C21" s="368"/>
      <c r="D21" s="1285" t="s">
        <v>432</v>
      </c>
      <c r="E21" s="1268">
        <v>10000</v>
      </c>
      <c r="F21" s="1266"/>
      <c r="G21" s="1267"/>
      <c r="H21" s="1259">
        <f t="shared" si="5"/>
        <v>10000</v>
      </c>
      <c r="I21" s="1268">
        <v>10000</v>
      </c>
      <c r="J21" s="1266"/>
      <c r="K21" s="1267"/>
      <c r="L21" s="1258">
        <v>10000</v>
      </c>
      <c r="M21" s="1268">
        <v>10000</v>
      </c>
      <c r="N21" s="1266"/>
      <c r="O21" s="1267"/>
      <c r="P21" s="1259">
        <f t="shared" si="6"/>
        <v>10000</v>
      </c>
      <c r="Q21" s="1197">
        <f t="shared" si="3"/>
        <v>100</v>
      </c>
      <c r="R21" s="1135">
        <f t="shared" si="1"/>
        <v>0</v>
      </c>
      <c r="S21" s="463">
        <f t="shared" si="0"/>
        <v>0</v>
      </c>
      <c r="T21" s="209">
        <f t="shared" si="4"/>
        <v>0</v>
      </c>
      <c r="U21" s="209">
        <f t="shared" si="2"/>
        <v>-100</v>
      </c>
    </row>
    <row r="22" spans="1:21" ht="36" customHeight="1">
      <c r="A22" s="366"/>
      <c r="B22" s="367"/>
      <c r="C22" s="368"/>
      <c r="D22" s="1285" t="s">
        <v>433</v>
      </c>
      <c r="E22" s="1265">
        <v>20000</v>
      </c>
      <c r="F22" s="1266"/>
      <c r="G22" s="1267"/>
      <c r="H22" s="1259">
        <f t="shared" si="5"/>
        <v>20000</v>
      </c>
      <c r="I22" s="1268">
        <v>20000</v>
      </c>
      <c r="J22" s="1266"/>
      <c r="K22" s="1267"/>
      <c r="L22" s="1258">
        <v>20000</v>
      </c>
      <c r="M22" s="1268">
        <v>20000</v>
      </c>
      <c r="N22" s="1266"/>
      <c r="O22" s="1267"/>
      <c r="P22" s="1259">
        <f t="shared" si="6"/>
        <v>20000</v>
      </c>
      <c r="Q22" s="1197">
        <f t="shared" si="3"/>
        <v>100</v>
      </c>
      <c r="R22" s="1135">
        <f t="shared" si="1"/>
        <v>0</v>
      </c>
      <c r="S22" s="463">
        <f t="shared" si="0"/>
        <v>0</v>
      </c>
      <c r="T22" s="209">
        <f t="shared" si="4"/>
        <v>0</v>
      </c>
      <c r="U22" s="209">
        <f t="shared" si="2"/>
        <v>-100</v>
      </c>
    </row>
    <row r="23" spans="1:21" s="495" customFormat="1" ht="36" customHeight="1">
      <c r="A23" s="363"/>
      <c r="B23" s="443"/>
      <c r="C23" s="499"/>
      <c r="D23" s="1507" t="s">
        <v>1338</v>
      </c>
      <c r="E23" s="1262"/>
      <c r="F23" s="1263"/>
      <c r="G23" s="1264">
        <v>5000</v>
      </c>
      <c r="H23" s="1260">
        <f>SUM(E23:G23)</f>
        <v>5000</v>
      </c>
      <c r="I23" s="1268"/>
      <c r="J23" s="1266"/>
      <c r="K23" s="1267"/>
      <c r="L23" s="1258"/>
      <c r="M23" s="1268"/>
      <c r="N23" s="1266"/>
      <c r="O23" s="1267"/>
      <c r="P23" s="1257">
        <f t="shared" si="6"/>
        <v>0</v>
      </c>
      <c r="Q23" s="1197">
        <f t="shared" si="3"/>
        <v>0</v>
      </c>
      <c r="R23" s="1135">
        <f t="shared" si="1"/>
        <v>0</v>
      </c>
      <c r="S23" s="463">
        <f t="shared" si="0"/>
        <v>0</v>
      </c>
      <c r="T23" s="501">
        <f t="shared" si="4"/>
        <v>0</v>
      </c>
      <c r="U23" s="501">
        <f t="shared" si="2"/>
        <v>0</v>
      </c>
    </row>
    <row r="24" spans="1:21" ht="27.75" customHeight="1">
      <c r="A24" s="363">
        <v>229</v>
      </c>
      <c r="B24" s="364">
        <v>1061</v>
      </c>
      <c r="C24" s="365">
        <v>613700</v>
      </c>
      <c r="D24" s="1507" t="s">
        <v>434</v>
      </c>
      <c r="E24" s="1262"/>
      <c r="F24" s="1263">
        <v>5500</v>
      </c>
      <c r="G24" s="1264"/>
      <c r="H24" s="1260">
        <f t="shared" ref="H24:H30" si="7">SUM(E24:G24)</f>
        <v>5500</v>
      </c>
      <c r="I24" s="1262"/>
      <c r="J24" s="1263">
        <v>5500</v>
      </c>
      <c r="K24" s="1264"/>
      <c r="L24" s="1257">
        <v>5500</v>
      </c>
      <c r="M24" s="1262"/>
      <c r="N24" s="1263">
        <v>5500</v>
      </c>
      <c r="O24" s="1264"/>
      <c r="P24" s="1257">
        <f t="shared" si="6"/>
        <v>5500</v>
      </c>
      <c r="Q24" s="1197">
        <f t="shared" si="3"/>
        <v>100</v>
      </c>
      <c r="R24" s="1135">
        <f t="shared" si="1"/>
        <v>0</v>
      </c>
      <c r="S24" s="463">
        <f t="shared" si="0"/>
        <v>0</v>
      </c>
      <c r="T24" s="209">
        <f t="shared" si="4"/>
        <v>0</v>
      </c>
      <c r="U24" s="209">
        <f t="shared" si="2"/>
        <v>-100</v>
      </c>
    </row>
    <row r="25" spans="1:21" ht="27.75" hidden="1" customHeight="1">
      <c r="A25" s="363"/>
      <c r="B25" s="364">
        <v>1061</v>
      </c>
      <c r="C25" s="365">
        <v>613700</v>
      </c>
      <c r="D25" s="1507" t="s">
        <v>764</v>
      </c>
      <c r="E25" s="1262"/>
      <c r="F25" s="1263"/>
      <c r="G25" s="1264"/>
      <c r="H25" s="1260">
        <f t="shared" si="7"/>
        <v>0</v>
      </c>
      <c r="I25" s="1262"/>
      <c r="J25" s="1263"/>
      <c r="K25" s="1264"/>
      <c r="L25" s="1257"/>
      <c r="M25" s="1262"/>
      <c r="N25" s="1263"/>
      <c r="O25" s="1264"/>
      <c r="P25" s="1257">
        <f t="shared" si="6"/>
        <v>0</v>
      </c>
      <c r="Q25" s="1197"/>
      <c r="R25" s="1135">
        <f t="shared" si="1"/>
        <v>0</v>
      </c>
      <c r="S25" s="463">
        <f t="shared" si="0"/>
        <v>0</v>
      </c>
      <c r="T25" s="209">
        <f t="shared" si="4"/>
        <v>0</v>
      </c>
      <c r="U25" s="209">
        <f t="shared" si="2"/>
        <v>0</v>
      </c>
    </row>
    <row r="26" spans="1:21" ht="27.75" customHeight="1">
      <c r="A26" s="363">
        <v>229</v>
      </c>
      <c r="B26" s="364">
        <v>1061</v>
      </c>
      <c r="C26" s="365">
        <v>821625</v>
      </c>
      <c r="D26" s="1507" t="s">
        <v>435</v>
      </c>
      <c r="E26" s="1262"/>
      <c r="F26" s="1263">
        <v>5500</v>
      </c>
      <c r="G26" s="1264"/>
      <c r="H26" s="1260">
        <f t="shared" si="7"/>
        <v>5500</v>
      </c>
      <c r="I26" s="1262"/>
      <c r="J26" s="1263">
        <v>5500</v>
      </c>
      <c r="K26" s="1264"/>
      <c r="L26" s="1257">
        <v>5500</v>
      </c>
      <c r="M26" s="1262"/>
      <c r="N26" s="1263">
        <v>5500</v>
      </c>
      <c r="O26" s="1264"/>
      <c r="P26" s="1257">
        <f t="shared" si="6"/>
        <v>5500</v>
      </c>
      <c r="Q26" s="1197">
        <f t="shared" si="3"/>
        <v>100</v>
      </c>
      <c r="R26" s="1135">
        <f t="shared" si="1"/>
        <v>0</v>
      </c>
      <c r="S26" s="463">
        <f t="shared" si="0"/>
        <v>0</v>
      </c>
      <c r="T26" s="209">
        <f t="shared" si="4"/>
        <v>0</v>
      </c>
      <c r="U26" s="209">
        <f t="shared" si="2"/>
        <v>-100</v>
      </c>
    </row>
    <row r="27" spans="1:21" ht="30" customHeight="1">
      <c r="A27" s="363">
        <v>229</v>
      </c>
      <c r="B27" s="364">
        <v>1061</v>
      </c>
      <c r="C27" s="365">
        <v>821625</v>
      </c>
      <c r="D27" s="1507" t="s">
        <v>765</v>
      </c>
      <c r="E27" s="1262"/>
      <c r="F27" s="1263">
        <v>65499</v>
      </c>
      <c r="G27" s="1264"/>
      <c r="H27" s="1260">
        <f t="shared" si="7"/>
        <v>65499</v>
      </c>
      <c r="I27" s="1262"/>
      <c r="J27" s="1263"/>
      <c r="K27" s="1264"/>
      <c r="L27" s="1257"/>
      <c r="M27" s="1262"/>
      <c r="N27" s="1263"/>
      <c r="O27" s="1264"/>
      <c r="P27" s="1257">
        <f t="shared" si="6"/>
        <v>0</v>
      </c>
      <c r="Q27" s="1197">
        <f t="shared" si="3"/>
        <v>0</v>
      </c>
      <c r="R27" s="1135">
        <f t="shared" si="1"/>
        <v>0</v>
      </c>
      <c r="S27" s="463">
        <f t="shared" si="0"/>
        <v>0</v>
      </c>
      <c r="T27" s="209">
        <f t="shared" si="4"/>
        <v>0</v>
      </c>
      <c r="U27" s="209">
        <f t="shared" si="2"/>
        <v>0</v>
      </c>
    </row>
    <row r="28" spans="1:21" ht="30" customHeight="1">
      <c r="A28" s="363"/>
      <c r="B28" s="443"/>
      <c r="C28" s="444"/>
      <c r="D28" s="1507" t="s">
        <v>1337</v>
      </c>
      <c r="E28" s="1262"/>
      <c r="F28" s="1263"/>
      <c r="G28" s="1264">
        <v>14000</v>
      </c>
      <c r="H28" s="1260">
        <f t="shared" si="7"/>
        <v>14000</v>
      </c>
      <c r="I28" s="1262"/>
      <c r="J28" s="1263"/>
      <c r="K28" s="1264"/>
      <c r="L28" s="1257"/>
      <c r="M28" s="1262"/>
      <c r="N28" s="1263"/>
      <c r="O28" s="1264"/>
      <c r="P28" s="1257">
        <f t="shared" si="6"/>
        <v>0</v>
      </c>
      <c r="Q28" s="1197">
        <f t="shared" si="3"/>
        <v>0</v>
      </c>
      <c r="R28" s="1135">
        <f t="shared" si="1"/>
        <v>0</v>
      </c>
      <c r="S28" s="463">
        <f t="shared" si="0"/>
        <v>0</v>
      </c>
      <c r="U28" s="209"/>
    </row>
    <row r="29" spans="1:21" ht="27.75" customHeight="1">
      <c r="A29" s="363" t="s">
        <v>337</v>
      </c>
      <c r="B29" s="364"/>
      <c r="C29" s="365" t="s">
        <v>238</v>
      </c>
      <c r="D29" s="1507" t="s">
        <v>1307</v>
      </c>
      <c r="E29" s="1262"/>
      <c r="F29" s="1263"/>
      <c r="G29" s="1264">
        <v>12500</v>
      </c>
      <c r="H29" s="1260">
        <f t="shared" si="7"/>
        <v>12500</v>
      </c>
      <c r="I29" s="1262"/>
      <c r="J29" s="1263"/>
      <c r="K29" s="1264"/>
      <c r="L29" s="1257">
        <v>26856</v>
      </c>
      <c r="M29" s="1262"/>
      <c r="N29" s="1263"/>
      <c r="O29" s="1264"/>
      <c r="P29" s="1257">
        <f t="shared" si="6"/>
        <v>0</v>
      </c>
      <c r="Q29" s="1197">
        <f t="shared" si="3"/>
        <v>0</v>
      </c>
      <c r="R29" s="1135">
        <f t="shared" si="1"/>
        <v>0</v>
      </c>
      <c r="S29" s="463">
        <f t="shared" si="0"/>
        <v>0</v>
      </c>
      <c r="T29" s="209">
        <f t="shared" si="4"/>
        <v>0</v>
      </c>
      <c r="U29" s="209">
        <f t="shared" si="2"/>
        <v>0</v>
      </c>
    </row>
    <row r="30" spans="1:21" ht="27.75" customHeight="1">
      <c r="A30" s="363" t="s">
        <v>337</v>
      </c>
      <c r="B30" s="364"/>
      <c r="C30" s="365" t="s">
        <v>234</v>
      </c>
      <c r="D30" s="1507" t="s">
        <v>1308</v>
      </c>
      <c r="E30" s="1262"/>
      <c r="F30" s="1263"/>
      <c r="G30" s="1264">
        <v>27639</v>
      </c>
      <c r="H30" s="1260">
        <f t="shared" si="7"/>
        <v>27639</v>
      </c>
      <c r="I30" s="1262"/>
      <c r="J30" s="1263"/>
      <c r="K30" s="1264"/>
      <c r="L30" s="1257"/>
      <c r="M30" s="1262"/>
      <c r="N30" s="1263"/>
      <c r="O30" s="1264"/>
      <c r="P30" s="1257">
        <f t="shared" si="6"/>
        <v>0</v>
      </c>
      <c r="Q30" s="1197">
        <f t="shared" si="3"/>
        <v>0</v>
      </c>
      <c r="R30" s="1135">
        <f t="shared" si="1"/>
        <v>0</v>
      </c>
      <c r="S30" s="463">
        <f t="shared" si="0"/>
        <v>0</v>
      </c>
      <c r="T30" s="209">
        <f t="shared" si="4"/>
        <v>0</v>
      </c>
      <c r="U30" s="209">
        <f t="shared" si="2"/>
        <v>0</v>
      </c>
    </row>
    <row r="31" spans="1:21" ht="30.75" customHeight="1">
      <c r="A31" s="363">
        <v>111</v>
      </c>
      <c r="B31" s="364">
        <v>1091</v>
      </c>
      <c r="C31" s="365">
        <v>614311</v>
      </c>
      <c r="D31" s="1507" t="s">
        <v>439</v>
      </c>
      <c r="E31" s="1262">
        <f>SUM(E32:E37)</f>
        <v>1412140</v>
      </c>
      <c r="F31" s="1263">
        <f t="shared" ref="F31" si="8">SUM(F32:F37)</f>
        <v>0</v>
      </c>
      <c r="G31" s="1264">
        <f>SUM(G32:G37)</f>
        <v>509560</v>
      </c>
      <c r="H31" s="1257">
        <f>SUM(H32:H37)</f>
        <v>1921700</v>
      </c>
      <c r="I31" s="1262">
        <f>SUM(I32:I37)</f>
        <v>1412140</v>
      </c>
      <c r="J31" s="1263"/>
      <c r="K31" s="1264"/>
      <c r="L31" s="1257">
        <f>SUM(L32:L37)</f>
        <v>1412140</v>
      </c>
      <c r="M31" s="1262">
        <f>SUM(M32:M37)</f>
        <v>1412140</v>
      </c>
      <c r="N31" s="1263">
        <f t="shared" ref="N31" si="9">SUM(N32:N37)</f>
        <v>0</v>
      </c>
      <c r="O31" s="1264">
        <f>SUM(O32:O37)</f>
        <v>0</v>
      </c>
      <c r="P31" s="1257">
        <f>SUM(P32:P37)</f>
        <v>1412140</v>
      </c>
      <c r="Q31" s="1197">
        <f t="shared" si="3"/>
        <v>73.483894468439402</v>
      </c>
      <c r="R31" s="1135">
        <f t="shared" si="1"/>
        <v>0</v>
      </c>
      <c r="S31" s="463">
        <f t="shared" si="0"/>
        <v>0</v>
      </c>
      <c r="T31" s="209">
        <f t="shared" si="4"/>
        <v>0</v>
      </c>
      <c r="U31" s="209">
        <f t="shared" si="2"/>
        <v>-73.483894468439402</v>
      </c>
    </row>
    <row r="32" spans="1:21" ht="27.75" customHeight="1">
      <c r="A32" s="366"/>
      <c r="B32" s="367"/>
      <c r="C32" s="369"/>
      <c r="D32" s="1285" t="s">
        <v>440</v>
      </c>
      <c r="E32" s="1265">
        <v>467300</v>
      </c>
      <c r="F32" s="1266"/>
      <c r="G32" s="1267">
        <v>25000</v>
      </c>
      <c r="H32" s="1259">
        <f>SUM(E32:G32)</f>
        <v>492300</v>
      </c>
      <c r="I32" s="1268">
        <v>467300</v>
      </c>
      <c r="J32" s="1266"/>
      <c r="K32" s="1267"/>
      <c r="L32" s="1258">
        <v>467300</v>
      </c>
      <c r="M32" s="2073">
        <v>467300</v>
      </c>
      <c r="N32" s="1266"/>
      <c r="O32" s="1267"/>
      <c r="P32" s="1259">
        <f>SUM(M32:O32)</f>
        <v>467300</v>
      </c>
      <c r="Q32" s="1197">
        <f t="shared" si="3"/>
        <v>94.921795653057089</v>
      </c>
      <c r="R32" s="1135">
        <f t="shared" si="1"/>
        <v>0</v>
      </c>
      <c r="S32" s="463">
        <f t="shared" si="0"/>
        <v>0</v>
      </c>
      <c r="T32" s="209">
        <f t="shared" si="4"/>
        <v>0</v>
      </c>
      <c r="U32" s="209">
        <f t="shared" si="2"/>
        <v>-94.921795653057089</v>
      </c>
    </row>
    <row r="33" spans="1:21" ht="27.75" customHeight="1">
      <c r="A33" s="366"/>
      <c r="B33" s="367"/>
      <c r="C33" s="369"/>
      <c r="D33" s="1508" t="s">
        <v>441</v>
      </c>
      <c r="E33" s="1265">
        <v>237090</v>
      </c>
      <c r="F33" s="1266"/>
      <c r="G33" s="1267"/>
      <c r="H33" s="1259">
        <f t="shared" ref="H33:H37" si="10">SUM(E33:G33)</f>
        <v>237090</v>
      </c>
      <c r="I33" s="1268">
        <v>237090</v>
      </c>
      <c r="J33" s="1266"/>
      <c r="K33" s="1267"/>
      <c r="L33" s="1258">
        <v>237090</v>
      </c>
      <c r="M33" s="2073">
        <v>237090</v>
      </c>
      <c r="N33" s="1266"/>
      <c r="O33" s="1267"/>
      <c r="P33" s="1259">
        <f t="shared" ref="P33:P42" si="11">SUM(M33:O33)</f>
        <v>237090</v>
      </c>
      <c r="Q33" s="1197">
        <f t="shared" si="3"/>
        <v>100</v>
      </c>
      <c r="R33" s="1135">
        <f t="shared" si="1"/>
        <v>0</v>
      </c>
      <c r="S33" s="463">
        <f t="shared" si="0"/>
        <v>0</v>
      </c>
      <c r="T33" s="209">
        <f t="shared" si="4"/>
        <v>0</v>
      </c>
      <c r="U33" s="209">
        <f t="shared" si="2"/>
        <v>-100</v>
      </c>
    </row>
    <row r="34" spans="1:21" ht="27.75" customHeight="1">
      <c r="A34" s="366"/>
      <c r="B34" s="367"/>
      <c r="C34" s="369"/>
      <c r="D34" s="1508" t="s">
        <v>442</v>
      </c>
      <c r="E34" s="1268">
        <v>110600</v>
      </c>
      <c r="F34" s="1266"/>
      <c r="G34" s="1267"/>
      <c r="H34" s="1259">
        <f t="shared" si="10"/>
        <v>110600</v>
      </c>
      <c r="I34" s="1268">
        <v>110600</v>
      </c>
      <c r="J34" s="1266"/>
      <c r="K34" s="1267"/>
      <c r="L34" s="1258">
        <v>110600</v>
      </c>
      <c r="M34" s="2073">
        <v>110600</v>
      </c>
      <c r="N34" s="1266"/>
      <c r="O34" s="1267"/>
      <c r="P34" s="1259">
        <f t="shared" si="11"/>
        <v>110600</v>
      </c>
      <c r="Q34" s="1197">
        <f t="shared" si="3"/>
        <v>100</v>
      </c>
      <c r="R34" s="1135">
        <f t="shared" si="1"/>
        <v>0</v>
      </c>
      <c r="S34" s="463">
        <f t="shared" si="0"/>
        <v>0</v>
      </c>
      <c r="T34" s="209">
        <f t="shared" si="4"/>
        <v>0</v>
      </c>
      <c r="U34" s="209">
        <f t="shared" si="2"/>
        <v>-100</v>
      </c>
    </row>
    <row r="35" spans="1:21" ht="27.75" customHeight="1">
      <c r="A35" s="366"/>
      <c r="B35" s="367"/>
      <c r="C35" s="369"/>
      <c r="D35" s="1285" t="s">
        <v>443</v>
      </c>
      <c r="E35" s="1268">
        <v>460150</v>
      </c>
      <c r="F35" s="1266"/>
      <c r="G35" s="1267"/>
      <c r="H35" s="1259">
        <f t="shared" si="10"/>
        <v>460150</v>
      </c>
      <c r="I35" s="1268">
        <v>460150</v>
      </c>
      <c r="J35" s="1266"/>
      <c r="K35" s="1267"/>
      <c r="L35" s="1258">
        <v>460150</v>
      </c>
      <c r="M35" s="2073">
        <v>460150</v>
      </c>
      <c r="N35" s="1266"/>
      <c r="O35" s="1267"/>
      <c r="P35" s="1259">
        <f t="shared" si="11"/>
        <v>460150</v>
      </c>
      <c r="Q35" s="1197">
        <f t="shared" si="3"/>
        <v>100</v>
      </c>
      <c r="R35" s="1135">
        <f t="shared" si="1"/>
        <v>0</v>
      </c>
      <c r="S35" s="463">
        <f t="shared" si="0"/>
        <v>0</v>
      </c>
      <c r="T35" s="209">
        <f t="shared" si="4"/>
        <v>0</v>
      </c>
      <c r="U35" s="209">
        <f t="shared" si="2"/>
        <v>-100</v>
      </c>
    </row>
    <row r="36" spans="1:21" ht="32.25" customHeight="1">
      <c r="A36" s="366"/>
      <c r="B36" s="367"/>
      <c r="C36" s="369"/>
      <c r="D36" s="1285" t="s">
        <v>784</v>
      </c>
      <c r="E36" s="1268">
        <v>125000</v>
      </c>
      <c r="F36" s="1266"/>
      <c r="G36" s="1267"/>
      <c r="H36" s="1259">
        <f t="shared" si="10"/>
        <v>125000</v>
      </c>
      <c r="I36" s="1268">
        <v>125000</v>
      </c>
      <c r="J36" s="1266"/>
      <c r="K36" s="1267"/>
      <c r="L36" s="1258">
        <v>125000</v>
      </c>
      <c r="M36" s="2073">
        <v>125000</v>
      </c>
      <c r="N36" s="1266"/>
      <c r="O36" s="1267"/>
      <c r="P36" s="1259">
        <f t="shared" si="11"/>
        <v>125000</v>
      </c>
      <c r="Q36" s="1197">
        <f t="shared" si="3"/>
        <v>100</v>
      </c>
      <c r="R36" s="1135">
        <f t="shared" si="1"/>
        <v>0</v>
      </c>
      <c r="S36" s="463">
        <f t="shared" si="0"/>
        <v>0</v>
      </c>
      <c r="T36" s="209">
        <f t="shared" si="4"/>
        <v>0</v>
      </c>
      <c r="U36" s="209">
        <f t="shared" si="2"/>
        <v>-100</v>
      </c>
    </row>
    <row r="37" spans="1:21" ht="27.75" customHeight="1">
      <c r="A37" s="366"/>
      <c r="B37" s="367"/>
      <c r="C37" s="369"/>
      <c r="D37" s="1285" t="s">
        <v>766</v>
      </c>
      <c r="E37" s="1268">
        <v>12000</v>
      </c>
      <c r="F37" s="1266"/>
      <c r="G37" s="1271">
        <v>484560</v>
      </c>
      <c r="H37" s="1259">
        <f t="shared" si="10"/>
        <v>496560</v>
      </c>
      <c r="I37" s="1268">
        <v>12000</v>
      </c>
      <c r="J37" s="1266"/>
      <c r="K37" s="1267"/>
      <c r="L37" s="1258">
        <v>12000</v>
      </c>
      <c r="M37" s="2074">
        <v>12000</v>
      </c>
      <c r="N37" s="1266"/>
      <c r="O37" s="1267"/>
      <c r="P37" s="1259">
        <f t="shared" si="11"/>
        <v>12000</v>
      </c>
      <c r="Q37" s="1197">
        <f t="shared" si="3"/>
        <v>2.4166263895601738</v>
      </c>
      <c r="R37" s="1135">
        <f t="shared" si="1"/>
        <v>0</v>
      </c>
      <c r="S37" s="463">
        <f t="shared" si="0"/>
        <v>0</v>
      </c>
      <c r="T37" s="209">
        <f t="shared" si="4"/>
        <v>0</v>
      </c>
      <c r="U37" s="209">
        <f t="shared" si="2"/>
        <v>-2.4166263895601738</v>
      </c>
    </row>
    <row r="38" spans="1:21" ht="27.75" customHeight="1">
      <c r="A38" s="363" t="s">
        <v>319</v>
      </c>
      <c r="B38" s="364" t="s">
        <v>256</v>
      </c>
      <c r="C38" s="370"/>
      <c r="D38" s="1507" t="s">
        <v>445</v>
      </c>
      <c r="E38" s="1280">
        <f>SUM(E39:E40)</f>
        <v>1323300</v>
      </c>
      <c r="F38" s="1263"/>
      <c r="G38" s="1264"/>
      <c r="H38" s="1257">
        <f>SUM(H39:H40)</f>
        <v>1323300</v>
      </c>
      <c r="I38" s="1280">
        <f>SUM(I39:I40)</f>
        <v>1323300</v>
      </c>
      <c r="J38" s="1263"/>
      <c r="K38" s="1264"/>
      <c r="L38" s="1257">
        <f>SUM(L39:L40)</f>
        <v>1323300</v>
      </c>
      <c r="M38" s="1280">
        <f>SUM(M39:M40)</f>
        <v>1323300</v>
      </c>
      <c r="N38" s="1263"/>
      <c r="O38" s="1264"/>
      <c r="P38" s="1257">
        <f>SUM(P39:P40)</f>
        <v>1323300</v>
      </c>
      <c r="Q38" s="1197">
        <f t="shared" si="3"/>
        <v>100</v>
      </c>
      <c r="R38" s="1135">
        <f t="shared" si="1"/>
        <v>0</v>
      </c>
      <c r="S38" s="463">
        <f t="shared" si="0"/>
        <v>0</v>
      </c>
      <c r="T38" s="209">
        <f t="shared" si="4"/>
        <v>0</v>
      </c>
      <c r="U38" s="209">
        <f t="shared" si="2"/>
        <v>-100</v>
      </c>
    </row>
    <row r="39" spans="1:21" s="335" customFormat="1" ht="27.75" customHeight="1">
      <c r="A39" s="366" t="s">
        <v>319</v>
      </c>
      <c r="B39" s="367" t="s">
        <v>256</v>
      </c>
      <c r="C39" s="371">
        <v>614181</v>
      </c>
      <c r="D39" s="1508" t="s">
        <v>446</v>
      </c>
      <c r="E39" s="1265">
        <v>1163300</v>
      </c>
      <c r="F39" s="1266"/>
      <c r="G39" s="1267"/>
      <c r="H39" s="1259">
        <f>SUM(E39:G39)</f>
        <v>1163300</v>
      </c>
      <c r="I39" s="1265">
        <v>1163300</v>
      </c>
      <c r="J39" s="1266"/>
      <c r="K39" s="1267"/>
      <c r="L39" s="1259">
        <v>1163300</v>
      </c>
      <c r="M39" s="1445">
        <v>1163300</v>
      </c>
      <c r="N39" s="1266"/>
      <c r="O39" s="1267"/>
      <c r="P39" s="1259">
        <f t="shared" si="11"/>
        <v>1163300</v>
      </c>
      <c r="Q39" s="1197">
        <f t="shared" si="3"/>
        <v>100</v>
      </c>
      <c r="R39" s="1135">
        <f t="shared" si="1"/>
        <v>0</v>
      </c>
      <c r="S39" s="463">
        <f t="shared" si="0"/>
        <v>0</v>
      </c>
      <c r="T39" s="209">
        <f t="shared" si="4"/>
        <v>0</v>
      </c>
      <c r="U39" s="209">
        <f t="shared" si="2"/>
        <v>-100</v>
      </c>
    </row>
    <row r="40" spans="1:21" ht="27.75" customHeight="1">
      <c r="A40" s="366" t="s">
        <v>319</v>
      </c>
      <c r="B40" s="367" t="s">
        <v>256</v>
      </c>
      <c r="C40" s="371">
        <v>614181</v>
      </c>
      <c r="D40" s="1508" t="s">
        <v>447</v>
      </c>
      <c r="E40" s="1268">
        <v>160000</v>
      </c>
      <c r="F40" s="1266"/>
      <c r="G40" s="1267"/>
      <c r="H40" s="1259">
        <f t="shared" ref="H40:H42" si="12">SUM(E40:G40)</f>
        <v>160000</v>
      </c>
      <c r="I40" s="1268">
        <v>160000</v>
      </c>
      <c r="J40" s="1266"/>
      <c r="K40" s="1267"/>
      <c r="L40" s="1258">
        <v>160000</v>
      </c>
      <c r="M40" s="1445">
        <v>160000</v>
      </c>
      <c r="N40" s="1266"/>
      <c r="O40" s="1267"/>
      <c r="P40" s="1259">
        <f t="shared" si="11"/>
        <v>160000</v>
      </c>
      <c r="Q40" s="1197">
        <f t="shared" si="3"/>
        <v>100</v>
      </c>
      <c r="R40" s="1135">
        <f t="shared" si="1"/>
        <v>0</v>
      </c>
      <c r="S40" s="463">
        <f t="shared" si="0"/>
        <v>0</v>
      </c>
      <c r="T40" s="209">
        <f t="shared" si="4"/>
        <v>0</v>
      </c>
      <c r="U40" s="209">
        <f t="shared" si="2"/>
        <v>-100</v>
      </c>
    </row>
    <row r="41" spans="1:21" ht="33" customHeight="1">
      <c r="A41" s="363">
        <v>111</v>
      </c>
      <c r="B41" s="364">
        <v>1091</v>
      </c>
      <c r="C41" s="370">
        <v>613946</v>
      </c>
      <c r="D41" s="1507" t="s">
        <v>767</v>
      </c>
      <c r="E41" s="1279">
        <v>40000</v>
      </c>
      <c r="F41" s="1266"/>
      <c r="G41" s="1267"/>
      <c r="H41" s="1257">
        <f t="shared" si="12"/>
        <v>40000</v>
      </c>
      <c r="I41" s="1279">
        <v>40000</v>
      </c>
      <c r="J41" s="1266"/>
      <c r="K41" s="1267"/>
      <c r="L41" s="1257">
        <v>40000</v>
      </c>
      <c r="M41" s="1279">
        <v>40000</v>
      </c>
      <c r="N41" s="1266"/>
      <c r="O41" s="1267"/>
      <c r="P41" s="1257">
        <f t="shared" si="11"/>
        <v>40000</v>
      </c>
      <c r="Q41" s="1197">
        <f t="shared" si="3"/>
        <v>100</v>
      </c>
      <c r="R41" s="1135">
        <f t="shared" si="1"/>
        <v>0</v>
      </c>
      <c r="S41" s="463">
        <f t="shared" si="0"/>
        <v>0</v>
      </c>
      <c r="T41" s="209">
        <f t="shared" si="4"/>
        <v>0</v>
      </c>
      <c r="U41" s="209">
        <f t="shared" si="2"/>
        <v>-100</v>
      </c>
    </row>
    <row r="42" spans="1:21" ht="36" customHeight="1">
      <c r="A42" s="363">
        <v>111</v>
      </c>
      <c r="B42" s="364">
        <v>1071</v>
      </c>
      <c r="C42" s="365">
        <v>614239</v>
      </c>
      <c r="D42" s="1507" t="s">
        <v>785</v>
      </c>
      <c r="E42" s="1289">
        <v>20000</v>
      </c>
      <c r="F42" s="1266"/>
      <c r="G42" s="1267"/>
      <c r="H42" s="1257">
        <f t="shared" si="12"/>
        <v>20000</v>
      </c>
      <c r="I42" s="1289">
        <v>20000</v>
      </c>
      <c r="J42" s="1266"/>
      <c r="K42" s="1267"/>
      <c r="L42" s="1257">
        <v>20000</v>
      </c>
      <c r="M42" s="1289">
        <v>20000</v>
      </c>
      <c r="N42" s="1266"/>
      <c r="O42" s="1267"/>
      <c r="P42" s="1257">
        <f t="shared" si="11"/>
        <v>20000</v>
      </c>
      <c r="Q42" s="1197">
        <f t="shared" si="3"/>
        <v>100</v>
      </c>
      <c r="R42" s="1135">
        <f t="shared" si="1"/>
        <v>0</v>
      </c>
      <c r="S42" s="463">
        <f t="shared" si="0"/>
        <v>0</v>
      </c>
      <c r="T42" s="209">
        <f t="shared" si="4"/>
        <v>0</v>
      </c>
      <c r="U42" s="209">
        <f t="shared" si="2"/>
        <v>-100</v>
      </c>
    </row>
    <row r="43" spans="1:21" ht="27.75" customHeight="1">
      <c r="A43" s="363">
        <v>111</v>
      </c>
      <c r="B43" s="364"/>
      <c r="C43" s="365">
        <v>614200</v>
      </c>
      <c r="D43" s="1509" t="s">
        <v>183</v>
      </c>
      <c r="E43" s="1280">
        <f>SUM(E44:E45)</f>
        <v>370000</v>
      </c>
      <c r="F43" s="1263"/>
      <c r="G43" s="1264"/>
      <c r="H43" s="1257">
        <f>SUM(H44:H45)</f>
        <v>370000</v>
      </c>
      <c r="I43" s="1280">
        <f>SUM(I44:I45)</f>
        <v>340000</v>
      </c>
      <c r="J43" s="1263"/>
      <c r="K43" s="1264"/>
      <c r="L43" s="1257">
        <f>SUM(L44:L45)</f>
        <v>340000</v>
      </c>
      <c r="M43" s="1280">
        <f>SUM(M44:M45)</f>
        <v>340000</v>
      </c>
      <c r="N43" s="1263"/>
      <c r="O43" s="1264"/>
      <c r="P43" s="1566">
        <f>SUM(P44:P45)</f>
        <v>340000</v>
      </c>
      <c r="Q43" s="1565">
        <f t="shared" si="3"/>
        <v>91.891891891891902</v>
      </c>
      <c r="R43" s="1135">
        <f t="shared" si="1"/>
        <v>0</v>
      </c>
      <c r="S43" s="463">
        <f t="shared" si="0"/>
        <v>0</v>
      </c>
      <c r="T43" s="209">
        <f t="shared" si="4"/>
        <v>0</v>
      </c>
      <c r="U43" s="209" t="e">
        <f>T43-#REF!</f>
        <v>#REF!</v>
      </c>
    </row>
    <row r="44" spans="1:21" ht="27.75" customHeight="1">
      <c r="A44" s="366"/>
      <c r="B44" s="367">
        <v>1061</v>
      </c>
      <c r="C44" s="369">
        <v>614233</v>
      </c>
      <c r="D44" s="1508" t="s">
        <v>448</v>
      </c>
      <c r="E44" s="1290">
        <v>40000</v>
      </c>
      <c r="F44" s="1266"/>
      <c r="G44" s="1267"/>
      <c r="H44" s="1259">
        <f>SUM(E44:G44)</f>
        <v>40000</v>
      </c>
      <c r="I44" s="1290">
        <v>40000</v>
      </c>
      <c r="J44" s="1266"/>
      <c r="K44" s="1267"/>
      <c r="L44" s="1259">
        <v>40000</v>
      </c>
      <c r="M44" s="1290">
        <v>40000</v>
      </c>
      <c r="N44" s="1266"/>
      <c r="O44" s="1267"/>
      <c r="P44" s="1567">
        <f>SUM(M44:O44)</f>
        <v>40000</v>
      </c>
      <c r="Q44" s="1550">
        <f t="shared" si="3"/>
        <v>100</v>
      </c>
      <c r="R44" s="1135">
        <f t="shared" si="1"/>
        <v>0</v>
      </c>
      <c r="S44" s="463">
        <f t="shared" si="0"/>
        <v>0</v>
      </c>
      <c r="T44" s="209">
        <f t="shared" si="4"/>
        <v>0</v>
      </c>
      <c r="U44" s="209" t="e">
        <f>T44-#REF!</f>
        <v>#REF!</v>
      </c>
    </row>
    <row r="45" spans="1:21" ht="27.75" customHeight="1">
      <c r="A45" s="366"/>
      <c r="B45" s="367">
        <v>1091</v>
      </c>
      <c r="C45" s="369">
        <v>614231</v>
      </c>
      <c r="D45" s="1508" t="s">
        <v>449</v>
      </c>
      <c r="E45" s="1291">
        <v>330000</v>
      </c>
      <c r="F45" s="1266"/>
      <c r="G45" s="1267"/>
      <c r="H45" s="1259">
        <f t="shared" ref="H45" si="13">SUM(E45:G45)</f>
        <v>330000</v>
      </c>
      <c r="I45" s="1291">
        <v>300000</v>
      </c>
      <c r="J45" s="1266"/>
      <c r="K45" s="1267"/>
      <c r="L45" s="1567">
        <v>300000</v>
      </c>
      <c r="M45" s="1291">
        <v>300000</v>
      </c>
      <c r="N45" s="1266"/>
      <c r="O45" s="1267"/>
      <c r="P45" s="1567">
        <f>SUM(M45:O45)</f>
        <v>300000</v>
      </c>
      <c r="Q45" s="1550">
        <f t="shared" si="3"/>
        <v>90.909090909090907</v>
      </c>
      <c r="R45" s="1135">
        <f t="shared" si="1"/>
        <v>0</v>
      </c>
      <c r="S45" s="463">
        <f t="shared" si="0"/>
        <v>0</v>
      </c>
      <c r="T45" s="209">
        <f t="shared" si="4"/>
        <v>0</v>
      </c>
      <c r="U45" s="209">
        <f>T45-Q43</f>
        <v>-91.891891891891902</v>
      </c>
    </row>
    <row r="46" spans="1:21" ht="27.75" customHeight="1">
      <c r="A46" s="363">
        <v>111</v>
      </c>
      <c r="B46" s="364" t="s">
        <v>450</v>
      </c>
      <c r="C46" s="365"/>
      <c r="D46" s="1509" t="s">
        <v>786</v>
      </c>
      <c r="E46" s="1280">
        <f>SUM(E47:E48)</f>
        <v>40000</v>
      </c>
      <c r="F46" s="1266"/>
      <c r="G46" s="1267"/>
      <c r="H46" s="1257">
        <f>SUM(H47:H48)</f>
        <v>40000</v>
      </c>
      <c r="I46" s="1280">
        <f>SUM(I47:I48)</f>
        <v>50000</v>
      </c>
      <c r="J46" s="1266"/>
      <c r="K46" s="1267"/>
      <c r="L46" s="1566">
        <f>SUM(L47:L48)</f>
        <v>50000</v>
      </c>
      <c r="M46" s="1280">
        <f>SUM(M47:M48)</f>
        <v>40000</v>
      </c>
      <c r="N46" s="1266"/>
      <c r="O46" s="1267"/>
      <c r="P46" s="1566">
        <f>SUM(P47:P48)</f>
        <v>40000</v>
      </c>
      <c r="Q46" s="1550">
        <f t="shared" si="3"/>
        <v>100</v>
      </c>
      <c r="R46" s="1135">
        <f t="shared" si="1"/>
        <v>0</v>
      </c>
      <c r="S46" s="463">
        <f t="shared" si="0"/>
        <v>0</v>
      </c>
      <c r="T46" s="209">
        <f t="shared" si="4"/>
        <v>0</v>
      </c>
      <c r="U46" s="209">
        <f>T46-Q44</f>
        <v>-100</v>
      </c>
    </row>
    <row r="47" spans="1:21" ht="27.75" customHeight="1">
      <c r="A47" s="363"/>
      <c r="B47" s="364"/>
      <c r="C47" s="371" t="s">
        <v>222</v>
      </c>
      <c r="D47" s="1508" t="s">
        <v>768</v>
      </c>
      <c r="E47" s="1290">
        <v>15000</v>
      </c>
      <c r="F47" s="1266"/>
      <c r="G47" s="1267"/>
      <c r="H47" s="1259">
        <f>SUM(E47:G47)</f>
        <v>15000</v>
      </c>
      <c r="I47" s="1290">
        <v>20000</v>
      </c>
      <c r="J47" s="1266"/>
      <c r="K47" s="1267"/>
      <c r="L47" s="1567">
        <v>20000</v>
      </c>
      <c r="M47" s="1269">
        <v>15000</v>
      </c>
      <c r="N47" s="1266"/>
      <c r="O47" s="1267"/>
      <c r="P47" s="1567">
        <f>SUM(M47:O47)</f>
        <v>15000</v>
      </c>
      <c r="Q47" s="1550">
        <f t="shared" si="3"/>
        <v>100</v>
      </c>
      <c r="R47" s="1135">
        <f t="shared" si="1"/>
        <v>0</v>
      </c>
      <c r="S47" s="463">
        <f t="shared" si="0"/>
        <v>0</v>
      </c>
      <c r="T47" s="209">
        <f t="shared" si="4"/>
        <v>0</v>
      </c>
      <c r="U47" s="209">
        <f>T47-Q45</f>
        <v>-90.909090909090907</v>
      </c>
    </row>
    <row r="48" spans="1:21" ht="38.25" customHeight="1">
      <c r="A48" s="849"/>
      <c r="B48" s="850"/>
      <c r="C48" s="851" t="s">
        <v>222</v>
      </c>
      <c r="D48" s="1510" t="s">
        <v>451</v>
      </c>
      <c r="E48" s="1291">
        <v>25000</v>
      </c>
      <c r="F48" s="1266"/>
      <c r="G48" s="1267"/>
      <c r="H48" s="1261">
        <v>25000</v>
      </c>
      <c r="I48" s="1512">
        <v>30000</v>
      </c>
      <c r="J48" s="1266"/>
      <c r="K48" s="1267"/>
      <c r="L48" s="1567">
        <v>30000</v>
      </c>
      <c r="M48" s="1564">
        <v>25000</v>
      </c>
      <c r="N48" s="1266"/>
      <c r="O48" s="1267"/>
      <c r="P48" s="1567">
        <f>SUM(M48:O48)</f>
        <v>25000</v>
      </c>
      <c r="Q48" s="1550">
        <f t="shared" si="3"/>
        <v>100</v>
      </c>
      <c r="R48" s="1135">
        <f t="shared" si="1"/>
        <v>0</v>
      </c>
      <c r="S48" s="463">
        <f>M48+N48+O48-P48</f>
        <v>0</v>
      </c>
      <c r="T48" s="209">
        <f t="shared" si="4"/>
        <v>0</v>
      </c>
      <c r="U48" s="209">
        <f>T48-Q46</f>
        <v>-100</v>
      </c>
    </row>
    <row r="49" spans="1:18" ht="21" customHeight="1">
      <c r="A49" s="852"/>
      <c r="B49" s="2341"/>
      <c r="C49" s="2342"/>
      <c r="D49" s="2343" t="s">
        <v>1512</v>
      </c>
      <c r="E49" s="2344">
        <f>SUM(E7,E23:E31,E38,E41:E43,E46)</f>
        <v>3448130</v>
      </c>
      <c r="F49" s="2232">
        <f>SUM(F18:F24,F26,F43)</f>
        <v>11000</v>
      </c>
      <c r="G49" s="2233">
        <f>G28+G37</f>
        <v>498560</v>
      </c>
      <c r="H49" s="2345">
        <f>SUM(E49:G49)</f>
        <v>3957690</v>
      </c>
      <c r="I49" s="2279"/>
      <c r="J49" s="2232"/>
      <c r="K49" s="2233"/>
      <c r="L49" s="2346"/>
      <c r="M49" s="2281"/>
      <c r="N49" s="2282"/>
      <c r="O49" s="2283"/>
      <c r="P49" s="2346">
        <f t="shared" ref="P49:P51" si="14">SUM(M49:O49)</f>
        <v>0</v>
      </c>
      <c r="Q49" s="2347"/>
      <c r="R49" s="1135">
        <f t="shared" si="1"/>
        <v>0</v>
      </c>
    </row>
    <row r="50" spans="1:18" ht="21" customHeight="1">
      <c r="A50" s="852"/>
      <c r="B50" s="2348"/>
      <c r="C50" s="2349"/>
      <c r="D50" s="2350" t="s">
        <v>780</v>
      </c>
      <c r="E50" s="2351"/>
      <c r="F50" s="2282">
        <f>SUM(F25+F27+F28+F42+F44)</f>
        <v>65499</v>
      </c>
      <c r="G50" s="2233">
        <f>G32+G30+G29+G23+G11+G10+G9</f>
        <v>85139</v>
      </c>
      <c r="H50" s="2345">
        <f t="shared" ref="H50:H51" si="15">SUM(E50:G50)</f>
        <v>150638</v>
      </c>
      <c r="I50" s="2279"/>
      <c r="J50" s="2232"/>
      <c r="K50" s="2233"/>
      <c r="L50" s="2346"/>
      <c r="M50" s="2352"/>
      <c r="N50" s="2353"/>
      <c r="O50" s="2354"/>
      <c r="P50" s="2346">
        <f t="shared" si="14"/>
        <v>0</v>
      </c>
      <c r="Q50" s="2355"/>
      <c r="R50" s="1135">
        <f t="shared" si="1"/>
        <v>0</v>
      </c>
    </row>
    <row r="51" spans="1:18" ht="21" customHeight="1" thickBot="1">
      <c r="A51" s="853"/>
      <c r="B51" s="2356"/>
      <c r="C51" s="2356"/>
      <c r="D51" s="2357"/>
      <c r="E51" s="2358">
        <f t="shared" ref="E51:G51" si="16">E49+E50</f>
        <v>3448130</v>
      </c>
      <c r="F51" s="2288">
        <f t="shared" si="16"/>
        <v>76499</v>
      </c>
      <c r="G51" s="2359">
        <f t="shared" si="16"/>
        <v>583699</v>
      </c>
      <c r="H51" s="2360">
        <f t="shared" si="15"/>
        <v>4108328</v>
      </c>
      <c r="I51" s="2361"/>
      <c r="J51" s="2362"/>
      <c r="K51" s="2363"/>
      <c r="L51" s="2453"/>
      <c r="M51" s="2364"/>
      <c r="N51" s="2365"/>
      <c r="O51" s="2366"/>
      <c r="P51" s="2346">
        <f t="shared" si="14"/>
        <v>0</v>
      </c>
      <c r="Q51" s="2367"/>
      <c r="R51" s="1135">
        <f t="shared" si="1"/>
        <v>0</v>
      </c>
    </row>
    <row r="52" spans="1:18" ht="21" customHeight="1" thickTop="1">
      <c r="R52" s="1135">
        <f t="shared" si="1"/>
        <v>0</v>
      </c>
    </row>
    <row r="53" spans="1:18" ht="21" customHeight="1">
      <c r="E53" s="209">
        <f>E51-E6</f>
        <v>0</v>
      </c>
      <c r="F53" s="209">
        <f>F51-F6</f>
        <v>0</v>
      </c>
      <c r="G53" s="209">
        <f>G51-G6</f>
        <v>0</v>
      </c>
      <c r="H53" s="209">
        <f>H51-H6</f>
        <v>0</v>
      </c>
      <c r="I53" s="209"/>
      <c r="J53" s="209"/>
      <c r="K53" s="209"/>
      <c r="L53" s="209"/>
      <c r="R53" s="1135">
        <f t="shared" si="1"/>
        <v>0</v>
      </c>
    </row>
    <row r="54" spans="1:18" ht="21" customHeight="1"/>
    <row r="55" spans="1:18" ht="21" customHeight="1"/>
    <row r="56" spans="1:18" ht="21" customHeight="1"/>
    <row r="57" spans="1:18" ht="21" customHeight="1"/>
    <row r="58" spans="1:18" ht="21" customHeight="1"/>
    <row r="59" spans="1:18" ht="21" customHeight="1"/>
  </sheetData>
  <mergeCells count="8">
    <mergeCell ref="E2:H2"/>
    <mergeCell ref="Q2:Q3"/>
    <mergeCell ref="A2:A3"/>
    <mergeCell ref="B2:B3"/>
    <mergeCell ref="C2:C3"/>
    <mergeCell ref="D2:D3"/>
    <mergeCell ref="M2:P2"/>
    <mergeCell ref="I2:L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&amp;RPrilog br.3</oddHeader>
    <oddFooter>&amp;L&amp;"Times New Roman,Uobičajeno"&amp;14&amp;K00-025Budžet Grada Mostara za 2022
.godinu-Služba za socijalne i stambene poslove, zdravstvo, raseljene osobe i izbjeglice&amp;C&amp;14&amp;P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9"/>
  <dimension ref="A1:T23"/>
  <sheetViews>
    <sheetView view="pageBreakPreview" topLeftCell="D7" zoomScaleSheetLayoutView="100" workbookViewId="0">
      <selection activeCell="R7" sqref="R7:R21"/>
    </sheetView>
  </sheetViews>
  <sheetFormatPr defaultRowHeight="15"/>
  <cols>
    <col min="1" max="1" width="7" customWidth="1"/>
    <col min="2" max="2" width="7.140625" customWidth="1"/>
    <col min="3" max="3" width="7.85546875" customWidth="1"/>
    <col min="4" max="4" width="41.7109375" customWidth="1"/>
    <col min="5" max="16" width="11" customWidth="1"/>
  </cols>
  <sheetData>
    <row r="1" spans="1:20" ht="26.45" customHeight="1" thickBot="1">
      <c r="D1" s="481" t="s">
        <v>1554</v>
      </c>
    </row>
    <row r="2" spans="1:20" ht="39" customHeight="1" thickTop="1">
      <c r="A2" s="3415" t="s">
        <v>200</v>
      </c>
      <c r="B2" s="3417" t="s">
        <v>201</v>
      </c>
      <c r="C2" s="3417" t="s">
        <v>202</v>
      </c>
      <c r="D2" s="3419" t="s">
        <v>1</v>
      </c>
      <c r="E2" s="3410" t="s">
        <v>1278</v>
      </c>
      <c r="F2" s="3411"/>
      <c r="G2" s="3411"/>
      <c r="H2" s="3412"/>
      <c r="I2" s="3410" t="s">
        <v>1704</v>
      </c>
      <c r="J2" s="3411"/>
      <c r="K2" s="3411"/>
      <c r="L2" s="3412"/>
      <c r="M2" s="3410" t="s">
        <v>1653</v>
      </c>
      <c r="N2" s="3411"/>
      <c r="O2" s="3411"/>
      <c r="P2" s="3412"/>
      <c r="Q2" s="3413" t="s">
        <v>49</v>
      </c>
      <c r="R2" s="267"/>
    </row>
    <row r="3" spans="1:20" ht="123.75" customHeight="1">
      <c r="A3" s="3416"/>
      <c r="B3" s="3418"/>
      <c r="C3" s="3418"/>
      <c r="D3" s="3424"/>
      <c r="E3" s="2318" t="s">
        <v>50</v>
      </c>
      <c r="F3" s="2301" t="s">
        <v>162</v>
      </c>
      <c r="G3" s="2302" t="s">
        <v>52</v>
      </c>
      <c r="H3" s="2299" t="s">
        <v>606</v>
      </c>
      <c r="I3" s="2318" t="s">
        <v>50</v>
      </c>
      <c r="J3" s="2301" t="s">
        <v>162</v>
      </c>
      <c r="K3" s="2302" t="s">
        <v>52</v>
      </c>
      <c r="L3" s="2299" t="s">
        <v>606</v>
      </c>
      <c r="M3" s="2318" t="s">
        <v>50</v>
      </c>
      <c r="N3" s="2301" t="s">
        <v>162</v>
      </c>
      <c r="O3" s="2302" t="s">
        <v>52</v>
      </c>
      <c r="P3" s="2299" t="s">
        <v>606</v>
      </c>
      <c r="Q3" s="3414"/>
      <c r="R3" s="267"/>
    </row>
    <row r="4" spans="1:20">
      <c r="A4" s="2437"/>
      <c r="B4" s="2438"/>
      <c r="C4" s="2438"/>
      <c r="D4" s="2324"/>
      <c r="E4" s="2325">
        <v>1</v>
      </c>
      <c r="F4" s="2312">
        <v>2</v>
      </c>
      <c r="G4" s="2313">
        <v>3</v>
      </c>
      <c r="H4" s="2310" t="s">
        <v>653</v>
      </c>
      <c r="I4" s="2325">
        <v>5</v>
      </c>
      <c r="J4" s="2312">
        <v>6</v>
      </c>
      <c r="K4" s="2313">
        <v>7</v>
      </c>
      <c r="L4" s="2310" t="s">
        <v>54</v>
      </c>
      <c r="M4" s="2325">
        <v>9</v>
      </c>
      <c r="N4" s="2312">
        <v>10</v>
      </c>
      <c r="O4" s="2313">
        <v>11</v>
      </c>
      <c r="P4" s="2310" t="s">
        <v>1501</v>
      </c>
      <c r="Q4" s="2314">
        <v>13</v>
      </c>
      <c r="R4" s="460"/>
    </row>
    <row r="5" spans="1:20" ht="15.75">
      <c r="A5" s="2437"/>
      <c r="B5" s="2438"/>
      <c r="C5" s="2438"/>
      <c r="D5" s="2329" t="s">
        <v>827</v>
      </c>
      <c r="E5" s="2325"/>
      <c r="F5" s="2312"/>
      <c r="G5" s="2313"/>
      <c r="H5" s="2310"/>
      <c r="I5" s="2325"/>
      <c r="J5" s="2312"/>
      <c r="K5" s="2313"/>
      <c r="L5" s="2310"/>
      <c r="M5" s="2325"/>
      <c r="N5" s="2312"/>
      <c r="O5" s="2313"/>
      <c r="P5" s="2310"/>
      <c r="Q5" s="2314"/>
      <c r="R5" s="460"/>
    </row>
    <row r="6" spans="1:20" ht="31.5">
      <c r="A6" s="1282">
        <v>111</v>
      </c>
      <c r="B6" s="1283"/>
      <c r="C6" s="1284">
        <v>614324</v>
      </c>
      <c r="D6" s="1509" t="s">
        <v>1474</v>
      </c>
      <c r="E6" s="1529">
        <f>SUM(E7,E21)</f>
        <v>415000</v>
      </c>
      <c r="F6" s="1263">
        <f t="shared" ref="F6:G6" si="0">SUM(F7,F21)</f>
        <v>0</v>
      </c>
      <c r="G6" s="1264">
        <f t="shared" si="0"/>
        <v>0</v>
      </c>
      <c r="H6" s="1257">
        <f>SUM(H7,H21)</f>
        <v>415000</v>
      </c>
      <c r="I6" s="1529">
        <f>SUM(I7,I21)</f>
        <v>486000</v>
      </c>
      <c r="J6" s="1263">
        <f t="shared" ref="J6:K6" si="1">SUM(J7,J21)</f>
        <v>0</v>
      </c>
      <c r="K6" s="1264">
        <f t="shared" si="1"/>
        <v>0</v>
      </c>
      <c r="L6" s="1257">
        <f>SUM(L7,L21)</f>
        <v>486000</v>
      </c>
      <c r="M6" s="1529">
        <f>SUM(M7,M21)</f>
        <v>447000</v>
      </c>
      <c r="N6" s="1263">
        <f t="shared" ref="N6:O6" si="2">SUM(N7,N21)</f>
        <v>0</v>
      </c>
      <c r="O6" s="1264">
        <f t="shared" si="2"/>
        <v>0</v>
      </c>
      <c r="P6" s="1257">
        <f>SUM(P7,P21)</f>
        <v>447000</v>
      </c>
      <c r="Q6" s="1550">
        <f>P6/H6*100</f>
        <v>107.71084337349397</v>
      </c>
      <c r="R6" s="269">
        <f>'[11]PRIH REBALANS'!$AK$771</f>
        <v>447000</v>
      </c>
      <c r="S6" s="209">
        <f>M6+N6+O6-P6</f>
        <v>0</v>
      </c>
      <c r="T6" s="209">
        <f>S6-Q6</f>
        <v>-107.71084337349397</v>
      </c>
    </row>
    <row r="7" spans="1:20" ht="31.5">
      <c r="A7" s="1282">
        <v>111</v>
      </c>
      <c r="B7" s="1283">
        <v>1091</v>
      </c>
      <c r="C7" s="2439"/>
      <c r="D7" s="1509" t="s">
        <v>453</v>
      </c>
      <c r="E7" s="1529">
        <f t="shared" ref="E7:H7" si="3">SUM(E8:E20)</f>
        <v>195000</v>
      </c>
      <c r="F7" s="1263">
        <f t="shared" si="3"/>
        <v>0</v>
      </c>
      <c r="G7" s="1264">
        <f t="shared" si="3"/>
        <v>0</v>
      </c>
      <c r="H7" s="1257">
        <f t="shared" si="3"/>
        <v>195000</v>
      </c>
      <c r="I7" s="1529">
        <f>SUM(I8:I20)</f>
        <v>206000</v>
      </c>
      <c r="J7" s="1263">
        <f t="shared" ref="J7:L7" si="4">SUM(J8:J20)</f>
        <v>0</v>
      </c>
      <c r="K7" s="1264">
        <f t="shared" si="4"/>
        <v>0</v>
      </c>
      <c r="L7" s="1257">
        <f t="shared" si="4"/>
        <v>206000</v>
      </c>
      <c r="M7" s="1529">
        <f t="shared" ref="M7:P7" si="5">SUM(M8:M20)</f>
        <v>197000</v>
      </c>
      <c r="N7" s="1263">
        <f t="shared" si="5"/>
        <v>0</v>
      </c>
      <c r="O7" s="1264">
        <f t="shared" si="5"/>
        <v>0</v>
      </c>
      <c r="P7" s="1257">
        <f t="shared" si="5"/>
        <v>197000</v>
      </c>
      <c r="Q7" s="1550">
        <f t="shared" ref="Q7:Q21" si="6">P7/H7*100</f>
        <v>101.02564102564102</v>
      </c>
      <c r="R7" s="269">
        <f>E7+F7+G7-H7</f>
        <v>0</v>
      </c>
      <c r="S7" s="209">
        <f t="shared" ref="S7:S21" si="7">M7+N7+O7-P7</f>
        <v>0</v>
      </c>
      <c r="T7" s="209">
        <f t="shared" ref="T7:T23" si="8">S7-Q7</f>
        <v>-101.02564102564102</v>
      </c>
    </row>
    <row r="8" spans="1:20" ht="15.75">
      <c r="A8" s="1446"/>
      <c r="B8" s="1447"/>
      <c r="C8" s="2440"/>
      <c r="D8" s="1285" t="s">
        <v>454</v>
      </c>
      <c r="E8" s="2074">
        <v>24000</v>
      </c>
      <c r="F8" s="1266"/>
      <c r="G8" s="1267"/>
      <c r="H8" s="1258">
        <f>SUM(E8:G8)</f>
        <v>24000</v>
      </c>
      <c r="I8" s="2074">
        <v>25000</v>
      </c>
      <c r="J8" s="1266"/>
      <c r="K8" s="1267"/>
      <c r="L8" s="1258">
        <f>SUM(I8:K8)</f>
        <v>25000</v>
      </c>
      <c r="M8" s="2074">
        <v>24000</v>
      </c>
      <c r="N8" s="1266"/>
      <c r="O8" s="1267"/>
      <c r="P8" s="1258">
        <f>SUM(M8:O8)</f>
        <v>24000</v>
      </c>
      <c r="Q8" s="1550">
        <f t="shared" si="6"/>
        <v>100</v>
      </c>
      <c r="R8" s="269">
        <f t="shared" ref="R8:R21" si="9">E8+F8+G8-H8</f>
        <v>0</v>
      </c>
      <c r="S8" s="209">
        <f t="shared" si="7"/>
        <v>0</v>
      </c>
      <c r="T8" s="209">
        <f t="shared" si="8"/>
        <v>-100</v>
      </c>
    </row>
    <row r="9" spans="1:20" ht="15.75">
      <c r="A9" s="1446"/>
      <c r="B9" s="1447"/>
      <c r="C9" s="2440"/>
      <c r="D9" s="320" t="s">
        <v>1228</v>
      </c>
      <c r="E9" s="2074">
        <v>24000</v>
      </c>
      <c r="F9" s="1266"/>
      <c r="G9" s="1267"/>
      <c r="H9" s="1258">
        <f t="shared" ref="H9:H20" si="10">SUM(E9:G9)</f>
        <v>24000</v>
      </c>
      <c r="I9" s="2074">
        <v>25000</v>
      </c>
      <c r="J9" s="1266"/>
      <c r="K9" s="1267"/>
      <c r="L9" s="1258">
        <f t="shared" ref="L9:L20" si="11">SUM(I9:K9)</f>
        <v>25000</v>
      </c>
      <c r="M9" s="2074">
        <v>24000</v>
      </c>
      <c r="N9" s="1266"/>
      <c r="O9" s="1267"/>
      <c r="P9" s="1258">
        <f t="shared" ref="P9:P20" si="12">SUM(M9:O9)</f>
        <v>24000</v>
      </c>
      <c r="Q9" s="1550">
        <f t="shared" si="6"/>
        <v>100</v>
      </c>
      <c r="R9" s="269">
        <f t="shared" si="9"/>
        <v>0</v>
      </c>
      <c r="S9" s="209">
        <f t="shared" si="7"/>
        <v>0</v>
      </c>
      <c r="T9" s="209">
        <f t="shared" si="8"/>
        <v>-100</v>
      </c>
    </row>
    <row r="10" spans="1:20" ht="15.75">
      <c r="A10" s="1446"/>
      <c r="B10" s="1447"/>
      <c r="C10" s="2440"/>
      <c r="D10" s="1285" t="s">
        <v>455</v>
      </c>
      <c r="E10" s="2074">
        <v>24000</v>
      </c>
      <c r="F10" s="1266"/>
      <c r="G10" s="1267"/>
      <c r="H10" s="1258">
        <f t="shared" si="10"/>
        <v>24000</v>
      </c>
      <c r="I10" s="2074">
        <v>25000</v>
      </c>
      <c r="J10" s="1266"/>
      <c r="K10" s="1267"/>
      <c r="L10" s="1258">
        <f t="shared" si="11"/>
        <v>25000</v>
      </c>
      <c r="M10" s="2074">
        <v>24000</v>
      </c>
      <c r="N10" s="1266"/>
      <c r="O10" s="1267"/>
      <c r="P10" s="1258">
        <f t="shared" si="12"/>
        <v>24000</v>
      </c>
      <c r="Q10" s="1550">
        <f t="shared" si="6"/>
        <v>100</v>
      </c>
      <c r="R10" s="269">
        <f t="shared" si="9"/>
        <v>0</v>
      </c>
      <c r="S10" s="209">
        <f t="shared" si="7"/>
        <v>0</v>
      </c>
      <c r="T10" s="209">
        <f t="shared" si="8"/>
        <v>-100</v>
      </c>
    </row>
    <row r="11" spans="1:20" ht="15.75">
      <c r="A11" s="1446"/>
      <c r="B11" s="1447"/>
      <c r="C11" s="2441"/>
      <c r="D11" s="1285" t="s">
        <v>456</v>
      </c>
      <c r="E11" s="2074">
        <v>24000</v>
      </c>
      <c r="F11" s="1266"/>
      <c r="G11" s="1267"/>
      <c r="H11" s="1258">
        <f t="shared" si="10"/>
        <v>24000</v>
      </c>
      <c r="I11" s="2074">
        <v>25000</v>
      </c>
      <c r="J11" s="1266"/>
      <c r="K11" s="1267"/>
      <c r="L11" s="1258">
        <f t="shared" si="11"/>
        <v>25000</v>
      </c>
      <c r="M11" s="2074">
        <v>24000</v>
      </c>
      <c r="N11" s="1266"/>
      <c r="O11" s="1267"/>
      <c r="P11" s="1258">
        <f t="shared" si="12"/>
        <v>24000</v>
      </c>
      <c r="Q11" s="1550">
        <f t="shared" si="6"/>
        <v>100</v>
      </c>
      <c r="R11" s="269">
        <f t="shared" si="9"/>
        <v>0</v>
      </c>
      <c r="S11" s="209">
        <f t="shared" si="7"/>
        <v>0</v>
      </c>
      <c r="T11" s="209">
        <f t="shared" si="8"/>
        <v>-100</v>
      </c>
    </row>
    <row r="12" spans="1:20" ht="31.5">
      <c r="A12" s="1446"/>
      <c r="B12" s="1447"/>
      <c r="C12" s="1448"/>
      <c r="D12" s="1285" t="s">
        <v>457</v>
      </c>
      <c r="E12" s="2074">
        <v>24000</v>
      </c>
      <c r="F12" s="1266"/>
      <c r="G12" s="1267"/>
      <c r="H12" s="1258">
        <f t="shared" si="10"/>
        <v>24000</v>
      </c>
      <c r="I12" s="2074">
        <v>25000</v>
      </c>
      <c r="J12" s="1266"/>
      <c r="K12" s="1267"/>
      <c r="L12" s="1258">
        <f t="shared" si="11"/>
        <v>25000</v>
      </c>
      <c r="M12" s="2074">
        <v>24000</v>
      </c>
      <c r="N12" s="1266"/>
      <c r="O12" s="1267"/>
      <c r="P12" s="1258">
        <f t="shared" si="12"/>
        <v>24000</v>
      </c>
      <c r="Q12" s="1550">
        <f t="shared" si="6"/>
        <v>100</v>
      </c>
      <c r="R12" s="269">
        <f t="shared" si="9"/>
        <v>0</v>
      </c>
      <c r="S12" s="209">
        <f t="shared" si="7"/>
        <v>0</v>
      </c>
      <c r="T12" s="209">
        <f t="shared" si="8"/>
        <v>-100</v>
      </c>
    </row>
    <row r="13" spans="1:20" ht="31.5">
      <c r="A13" s="1446"/>
      <c r="B13" s="1447"/>
      <c r="C13" s="2441"/>
      <c r="D13" s="1285" t="s">
        <v>458</v>
      </c>
      <c r="E13" s="2074">
        <v>12000</v>
      </c>
      <c r="F13" s="1266"/>
      <c r="G13" s="1267"/>
      <c r="H13" s="1258">
        <f t="shared" si="10"/>
        <v>12000</v>
      </c>
      <c r="I13" s="2074">
        <v>12500</v>
      </c>
      <c r="J13" s="1266"/>
      <c r="K13" s="1267"/>
      <c r="L13" s="1258">
        <f t="shared" si="11"/>
        <v>12500</v>
      </c>
      <c r="M13" s="2074">
        <v>12000</v>
      </c>
      <c r="N13" s="1266"/>
      <c r="O13" s="1267"/>
      <c r="P13" s="1258">
        <f t="shared" si="12"/>
        <v>12000</v>
      </c>
      <c r="Q13" s="1550">
        <f t="shared" si="6"/>
        <v>100</v>
      </c>
      <c r="R13" s="269">
        <f t="shared" si="9"/>
        <v>0</v>
      </c>
      <c r="S13" s="209">
        <f t="shared" si="7"/>
        <v>0</v>
      </c>
      <c r="T13" s="209">
        <f t="shared" si="8"/>
        <v>-100</v>
      </c>
    </row>
    <row r="14" spans="1:20" ht="31.5">
      <c r="A14" s="1446"/>
      <c r="B14" s="1447"/>
      <c r="C14" s="2441"/>
      <c r="D14" s="1285" t="s">
        <v>769</v>
      </c>
      <c r="E14" s="2074">
        <v>12000</v>
      </c>
      <c r="F14" s="1266"/>
      <c r="G14" s="1267"/>
      <c r="H14" s="1258">
        <f t="shared" si="10"/>
        <v>12000</v>
      </c>
      <c r="I14" s="2074">
        <v>12500</v>
      </c>
      <c r="J14" s="1266"/>
      <c r="K14" s="1267"/>
      <c r="L14" s="1258">
        <f t="shared" si="11"/>
        <v>12500</v>
      </c>
      <c r="M14" s="2074">
        <v>12000</v>
      </c>
      <c r="N14" s="1266"/>
      <c r="O14" s="1267"/>
      <c r="P14" s="1258">
        <f t="shared" si="12"/>
        <v>12000</v>
      </c>
      <c r="Q14" s="1550">
        <f t="shared" si="6"/>
        <v>100</v>
      </c>
      <c r="R14" s="269">
        <f t="shared" si="9"/>
        <v>0</v>
      </c>
      <c r="S14" s="209">
        <f t="shared" si="7"/>
        <v>0</v>
      </c>
      <c r="T14" s="209">
        <f t="shared" si="8"/>
        <v>-100</v>
      </c>
    </row>
    <row r="15" spans="1:20" ht="15.75">
      <c r="A15" s="1446"/>
      <c r="B15" s="1447"/>
      <c r="C15" s="2441"/>
      <c r="D15" s="1285" t="s">
        <v>770</v>
      </c>
      <c r="E15" s="2074">
        <v>7500</v>
      </c>
      <c r="F15" s="1266"/>
      <c r="G15" s="1267"/>
      <c r="H15" s="1258">
        <f t="shared" si="10"/>
        <v>7500</v>
      </c>
      <c r="I15" s="2074">
        <v>9000</v>
      </c>
      <c r="J15" s="1266"/>
      <c r="K15" s="1267"/>
      <c r="L15" s="1258">
        <f t="shared" si="11"/>
        <v>9000</v>
      </c>
      <c r="M15" s="2074">
        <v>7500</v>
      </c>
      <c r="N15" s="1266"/>
      <c r="O15" s="1267"/>
      <c r="P15" s="1258">
        <f t="shared" si="12"/>
        <v>7500</v>
      </c>
      <c r="Q15" s="1550">
        <f t="shared" si="6"/>
        <v>100</v>
      </c>
      <c r="R15" s="269">
        <f t="shared" si="9"/>
        <v>0</v>
      </c>
      <c r="S15" s="209">
        <f t="shared" si="7"/>
        <v>0</v>
      </c>
      <c r="T15" s="209">
        <f t="shared" si="8"/>
        <v>-100</v>
      </c>
    </row>
    <row r="16" spans="1:20" ht="15.75">
      <c r="A16" s="1446"/>
      <c r="B16" s="1447"/>
      <c r="C16" s="2441"/>
      <c r="D16" s="1285" t="s">
        <v>771</v>
      </c>
      <c r="E16" s="2074">
        <v>7500</v>
      </c>
      <c r="F16" s="1266"/>
      <c r="G16" s="1267"/>
      <c r="H16" s="1258">
        <f t="shared" si="10"/>
        <v>7500</v>
      </c>
      <c r="I16" s="2074">
        <v>9000</v>
      </c>
      <c r="J16" s="1266"/>
      <c r="K16" s="1267"/>
      <c r="L16" s="1258">
        <f t="shared" si="11"/>
        <v>9000</v>
      </c>
      <c r="M16" s="2074">
        <v>7500</v>
      </c>
      <c r="N16" s="1266"/>
      <c r="O16" s="1267"/>
      <c r="P16" s="1258">
        <f t="shared" si="12"/>
        <v>7500</v>
      </c>
      <c r="Q16" s="1550">
        <f t="shared" si="6"/>
        <v>100</v>
      </c>
      <c r="R16" s="269">
        <f t="shared" si="9"/>
        <v>0</v>
      </c>
      <c r="S16" s="209">
        <f t="shared" si="7"/>
        <v>0</v>
      </c>
      <c r="T16" s="209">
        <f t="shared" si="8"/>
        <v>-100</v>
      </c>
    </row>
    <row r="17" spans="1:20" ht="31.5">
      <c r="A17" s="1446"/>
      <c r="B17" s="1447"/>
      <c r="C17" s="2441"/>
      <c r="D17" s="1285" t="s">
        <v>459</v>
      </c>
      <c r="E17" s="2074">
        <v>2000</v>
      </c>
      <c r="F17" s="1266"/>
      <c r="G17" s="1267"/>
      <c r="H17" s="1258">
        <f t="shared" si="10"/>
        <v>2000</v>
      </c>
      <c r="I17" s="2074">
        <v>2000</v>
      </c>
      <c r="J17" s="1266"/>
      <c r="K17" s="1267"/>
      <c r="L17" s="1258">
        <f t="shared" si="11"/>
        <v>2000</v>
      </c>
      <c r="M17" s="2074">
        <v>2000</v>
      </c>
      <c r="N17" s="1266"/>
      <c r="O17" s="1267"/>
      <c r="P17" s="1258">
        <f t="shared" si="12"/>
        <v>2000</v>
      </c>
      <c r="Q17" s="1550">
        <f t="shared" si="6"/>
        <v>100</v>
      </c>
      <c r="R17" s="269">
        <f t="shared" si="9"/>
        <v>0</v>
      </c>
      <c r="S17" s="209">
        <f t="shared" si="7"/>
        <v>0</v>
      </c>
      <c r="T17" s="209">
        <f t="shared" si="8"/>
        <v>-100</v>
      </c>
    </row>
    <row r="18" spans="1:20" ht="15.75">
      <c r="A18" s="1446"/>
      <c r="B18" s="1447"/>
      <c r="C18" s="2440"/>
      <c r="D18" s="1285" t="s">
        <v>460</v>
      </c>
      <c r="E18" s="2074">
        <v>2000</v>
      </c>
      <c r="F18" s="1266"/>
      <c r="G18" s="1267"/>
      <c r="H18" s="1258">
        <f t="shared" si="10"/>
        <v>2000</v>
      </c>
      <c r="I18" s="2074">
        <v>2000</v>
      </c>
      <c r="J18" s="1266"/>
      <c r="K18" s="1267"/>
      <c r="L18" s="1258">
        <f t="shared" si="11"/>
        <v>2000</v>
      </c>
      <c r="M18" s="2074">
        <v>2000</v>
      </c>
      <c r="N18" s="1266"/>
      <c r="O18" s="1267"/>
      <c r="P18" s="1258">
        <f t="shared" si="12"/>
        <v>2000</v>
      </c>
      <c r="Q18" s="1550">
        <f t="shared" si="6"/>
        <v>100</v>
      </c>
      <c r="R18" s="269">
        <f t="shared" si="9"/>
        <v>0</v>
      </c>
      <c r="S18" s="209">
        <f t="shared" si="7"/>
        <v>0</v>
      </c>
      <c r="T18" s="209">
        <f t="shared" si="8"/>
        <v>-100</v>
      </c>
    </row>
    <row r="19" spans="1:20" ht="15.75">
      <c r="A19" s="1446"/>
      <c r="B19" s="1447"/>
      <c r="C19" s="2440"/>
      <c r="D19" s="1285" t="s">
        <v>461</v>
      </c>
      <c r="E19" s="2074">
        <v>7000</v>
      </c>
      <c r="F19" s="1266"/>
      <c r="G19" s="1267"/>
      <c r="H19" s="1258">
        <f t="shared" si="10"/>
        <v>7000</v>
      </c>
      <c r="I19" s="2074">
        <v>4000</v>
      </c>
      <c r="J19" s="1266"/>
      <c r="K19" s="1267"/>
      <c r="L19" s="1258">
        <f t="shared" si="11"/>
        <v>4000</v>
      </c>
      <c r="M19" s="2074">
        <v>7000</v>
      </c>
      <c r="N19" s="1266"/>
      <c r="O19" s="1267"/>
      <c r="P19" s="1258">
        <f t="shared" si="12"/>
        <v>7000</v>
      </c>
      <c r="Q19" s="1550">
        <f t="shared" si="6"/>
        <v>100</v>
      </c>
      <c r="R19" s="269">
        <f t="shared" si="9"/>
        <v>0</v>
      </c>
      <c r="S19" s="209">
        <f t="shared" si="7"/>
        <v>0</v>
      </c>
      <c r="T19" s="209">
        <f t="shared" si="8"/>
        <v>-100</v>
      </c>
    </row>
    <row r="20" spans="1:20" ht="15.75">
      <c r="A20" s="1282">
        <v>111</v>
      </c>
      <c r="B20" s="1283">
        <v>1091</v>
      </c>
      <c r="C20" s="2440">
        <v>614324</v>
      </c>
      <c r="D20" s="1285" t="s">
        <v>462</v>
      </c>
      <c r="E20" s="2074">
        <v>25000</v>
      </c>
      <c r="F20" s="1266"/>
      <c r="G20" s="1267"/>
      <c r="H20" s="1258">
        <f t="shared" si="10"/>
        <v>25000</v>
      </c>
      <c r="I20" s="2074">
        <v>30000</v>
      </c>
      <c r="J20" s="1266"/>
      <c r="K20" s="1267"/>
      <c r="L20" s="1258">
        <f t="shared" si="11"/>
        <v>30000</v>
      </c>
      <c r="M20" s="2074">
        <v>27000</v>
      </c>
      <c r="N20" s="1266"/>
      <c r="O20" s="1267"/>
      <c r="P20" s="1258">
        <f t="shared" si="12"/>
        <v>27000</v>
      </c>
      <c r="Q20" s="1550">
        <f t="shared" si="6"/>
        <v>108</v>
      </c>
      <c r="R20" s="269">
        <f t="shared" si="9"/>
        <v>0</v>
      </c>
      <c r="S20" s="209">
        <f t="shared" si="7"/>
        <v>0</v>
      </c>
      <c r="T20" s="209">
        <f t="shared" si="8"/>
        <v>-108</v>
      </c>
    </row>
    <row r="21" spans="1:20" ht="48" thickBot="1">
      <c r="A21" s="2442">
        <v>111</v>
      </c>
      <c r="B21" s="2443">
        <v>1091</v>
      </c>
      <c r="C21" s="2444">
        <v>614232</v>
      </c>
      <c r="D21" s="2445" t="s">
        <v>772</v>
      </c>
      <c r="E21" s="2446">
        <v>220000</v>
      </c>
      <c r="F21" s="2447"/>
      <c r="G21" s="2448"/>
      <c r="H21" s="2449">
        <f>E21+F21++G21</f>
        <v>220000</v>
      </c>
      <c r="I21" s="2446">
        <v>280000</v>
      </c>
      <c r="J21" s="2447"/>
      <c r="K21" s="2448"/>
      <c r="L21" s="2449">
        <f>I21+J21++K21</f>
        <v>280000</v>
      </c>
      <c r="M21" s="2450">
        <v>250000</v>
      </c>
      <c r="N21" s="2447"/>
      <c r="O21" s="2448"/>
      <c r="P21" s="2451">
        <f>SUM(M21:O21)</f>
        <v>250000</v>
      </c>
      <c r="Q21" s="2452">
        <f t="shared" si="6"/>
        <v>113.63636363636364</v>
      </c>
      <c r="R21" s="269">
        <f t="shared" si="9"/>
        <v>0</v>
      </c>
      <c r="S21" s="209">
        <f t="shared" si="7"/>
        <v>0</v>
      </c>
      <c r="T21" s="209">
        <f t="shared" si="8"/>
        <v>-113.63636363636364</v>
      </c>
    </row>
    <row r="22" spans="1:20" ht="15.75" thickTop="1">
      <c r="T22" s="209">
        <f t="shared" si="8"/>
        <v>0</v>
      </c>
    </row>
    <row r="23" spans="1:20">
      <c r="T23" s="209">
        <f t="shared" si="8"/>
        <v>0</v>
      </c>
    </row>
  </sheetData>
  <mergeCells count="8">
    <mergeCell ref="E2:H2"/>
    <mergeCell ref="Q2:Q3"/>
    <mergeCell ref="M2:P2"/>
    <mergeCell ref="A2:A3"/>
    <mergeCell ref="B2:B3"/>
    <mergeCell ref="C2:C3"/>
    <mergeCell ref="D2:D3"/>
    <mergeCell ref="I2:L2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&amp;RPrilog br.4</oddHeader>
    <oddFooter>&amp;L&amp;"Times New Roman,Uobičajeno"&amp;14&amp;K00-013Budžet Grada Mostara za 2022
-Služba za zaštitu prava boraca/branitelja i njihovih porodica/obitelji&amp;C&amp;"Times New Roman,Uobičajeno"&amp;14&amp;P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0"/>
  <dimension ref="A1:S23"/>
  <sheetViews>
    <sheetView view="pageBreakPreview" topLeftCell="B10" zoomScale="77" zoomScaleSheetLayoutView="77" workbookViewId="0">
      <selection activeCell="Q5" sqref="Q5"/>
    </sheetView>
  </sheetViews>
  <sheetFormatPr defaultRowHeight="15"/>
  <cols>
    <col min="1" max="1" width="9.42578125" bestFit="1" customWidth="1"/>
    <col min="2" max="2" width="9.28515625" bestFit="1" customWidth="1"/>
    <col min="3" max="3" width="9.85546875" bestFit="1" customWidth="1"/>
    <col min="4" max="4" width="61.28515625" customWidth="1"/>
    <col min="5" max="16" width="13.28515625" customWidth="1"/>
    <col min="17" max="17" width="7.85546875" customWidth="1"/>
    <col min="18" max="18" width="12.140625" customWidth="1"/>
  </cols>
  <sheetData>
    <row r="1" spans="1:19" ht="25.5" customHeight="1" thickBot="1">
      <c r="D1" s="570" t="s">
        <v>1511</v>
      </c>
    </row>
    <row r="2" spans="1:19" ht="30" customHeight="1" thickTop="1" thickBot="1">
      <c r="A2" s="3430" t="s">
        <v>200</v>
      </c>
      <c r="B2" s="3432" t="s">
        <v>201</v>
      </c>
      <c r="C2" s="3432" t="s">
        <v>202</v>
      </c>
      <c r="D2" s="3434" t="s">
        <v>1</v>
      </c>
      <c r="E2" s="3425" t="s">
        <v>1279</v>
      </c>
      <c r="F2" s="3426"/>
      <c r="G2" s="3426"/>
      <c r="H2" s="3427"/>
      <c r="I2" s="3425" t="s">
        <v>1704</v>
      </c>
      <c r="J2" s="3426"/>
      <c r="K2" s="3426"/>
      <c r="L2" s="3427"/>
      <c r="M2" s="3425" t="s">
        <v>1654</v>
      </c>
      <c r="N2" s="3426"/>
      <c r="O2" s="3426"/>
      <c r="P2" s="3427"/>
      <c r="Q2" s="3428" t="s">
        <v>49</v>
      </c>
    </row>
    <row r="3" spans="1:19" ht="132" customHeight="1" thickTop="1">
      <c r="A3" s="3431"/>
      <c r="B3" s="3433"/>
      <c r="C3" s="3433"/>
      <c r="D3" s="3435"/>
      <c r="E3" s="706" t="s">
        <v>50</v>
      </c>
      <c r="F3" s="707" t="s">
        <v>162</v>
      </c>
      <c r="G3" s="708" t="s">
        <v>52</v>
      </c>
      <c r="H3" s="746" t="s">
        <v>606</v>
      </c>
      <c r="I3" s="706" t="s">
        <v>50</v>
      </c>
      <c r="J3" s="707" t="s">
        <v>162</v>
      </c>
      <c r="K3" s="708" t="s">
        <v>52</v>
      </c>
      <c r="L3" s="746" t="s">
        <v>606</v>
      </c>
      <c r="M3" s="706" t="s">
        <v>50</v>
      </c>
      <c r="N3" s="707" t="s">
        <v>162</v>
      </c>
      <c r="O3" s="708" t="s">
        <v>52</v>
      </c>
      <c r="P3" s="746" t="s">
        <v>606</v>
      </c>
      <c r="Q3" s="3429"/>
    </row>
    <row r="4" spans="1:19" ht="30.75" customHeight="1">
      <c r="A4" s="898"/>
      <c r="B4" s="899"/>
      <c r="C4" s="899"/>
      <c r="D4" s="859"/>
      <c r="E4" s="865">
        <v>1</v>
      </c>
      <c r="F4" s="866">
        <v>2</v>
      </c>
      <c r="G4" s="867">
        <v>3</v>
      </c>
      <c r="H4" s="610" t="s">
        <v>653</v>
      </c>
      <c r="I4" s="865">
        <v>5</v>
      </c>
      <c r="J4" s="866">
        <v>6</v>
      </c>
      <c r="K4" s="867">
        <v>7</v>
      </c>
      <c r="L4" s="610" t="s">
        <v>54</v>
      </c>
      <c r="M4" s="865">
        <v>9</v>
      </c>
      <c r="N4" s="866">
        <v>10</v>
      </c>
      <c r="O4" s="867">
        <v>11</v>
      </c>
      <c r="P4" s="610" t="s">
        <v>1501</v>
      </c>
      <c r="Q4" s="900">
        <v>13</v>
      </c>
    </row>
    <row r="5" spans="1:19" ht="20.25" customHeight="1">
      <c r="A5" s="898"/>
      <c r="B5" s="899"/>
      <c r="C5" s="899"/>
      <c r="D5" s="860" t="s">
        <v>828</v>
      </c>
      <c r="E5" s="865"/>
      <c r="F5" s="866"/>
      <c r="G5" s="867"/>
      <c r="H5" s="610"/>
      <c r="I5" s="865"/>
      <c r="J5" s="866"/>
      <c r="K5" s="867"/>
      <c r="L5" s="610"/>
      <c r="M5" s="865"/>
      <c r="N5" s="866"/>
      <c r="O5" s="867"/>
      <c r="P5" s="610"/>
      <c r="Q5" s="900"/>
    </row>
    <row r="6" spans="1:19" ht="35.25" customHeight="1">
      <c r="A6" s="901">
        <v>111</v>
      </c>
      <c r="B6" s="902" t="s">
        <v>469</v>
      </c>
      <c r="C6" s="903"/>
      <c r="D6" s="861" t="s">
        <v>470</v>
      </c>
      <c r="E6" s="868">
        <f>SUM(E7:E19)</f>
        <v>464500</v>
      </c>
      <c r="F6" s="869">
        <f>SUM(F7:F19)</f>
        <v>924027</v>
      </c>
      <c r="G6" s="870">
        <f>SUM(G7:G19)</f>
        <v>557519</v>
      </c>
      <c r="H6" s="497">
        <f>SUM(E6+F6+G6)</f>
        <v>1946046</v>
      </c>
      <c r="I6" s="868">
        <f>SUM(I7:I19)</f>
        <v>100000</v>
      </c>
      <c r="J6" s="869">
        <f>SUM(J7:J19)</f>
        <v>0</v>
      </c>
      <c r="K6" s="870">
        <f>SUM(K7:K19)</f>
        <v>0</v>
      </c>
      <c r="L6" s="497">
        <f>SUM(I6+J6+K6)</f>
        <v>100000</v>
      </c>
      <c r="M6" s="868">
        <f>SUM(M7:M19)</f>
        <v>100000</v>
      </c>
      <c r="N6" s="869">
        <f>SUM(N7:N19)</f>
        <v>0</v>
      </c>
      <c r="O6" s="870">
        <f>SUM(O7:O19)</f>
        <v>0</v>
      </c>
      <c r="P6" s="497">
        <f>SUM(M6+N6+O6)</f>
        <v>100000</v>
      </c>
      <c r="Q6" s="875">
        <f>P6/H6*100</f>
        <v>5.1386246779366989</v>
      </c>
      <c r="R6" s="897">
        <f>E6+F6+G6-H6</f>
        <v>0</v>
      </c>
      <c r="S6" s="209">
        <f>R6-H6</f>
        <v>-1946046</v>
      </c>
    </row>
    <row r="7" spans="1:19" ht="35.25" customHeight="1">
      <c r="A7" s="901"/>
      <c r="B7" s="902"/>
      <c r="C7" s="904">
        <v>613000</v>
      </c>
      <c r="D7" s="862" t="s">
        <v>471</v>
      </c>
      <c r="E7" s="871">
        <v>7500</v>
      </c>
      <c r="F7" s="869"/>
      <c r="G7" s="870"/>
      <c r="H7" s="747">
        <f>SUM(E7:G7)</f>
        <v>7500</v>
      </c>
      <c r="I7" s="871"/>
      <c r="J7" s="869"/>
      <c r="K7" s="870"/>
      <c r="L7" s="747">
        <f>SUM(I7:K7)</f>
        <v>0</v>
      </c>
      <c r="M7" s="871"/>
      <c r="N7" s="869"/>
      <c r="O7" s="870"/>
      <c r="P7" s="747">
        <f>SUM(M7:O7)</f>
        <v>0</v>
      </c>
      <c r="Q7" s="875">
        <f t="shared" ref="Q7:Q19" si="0">P7/H7*100</f>
        <v>0</v>
      </c>
      <c r="R7" s="897">
        <f t="shared" ref="R7:R22" si="1">E7+F7+G7-H7</f>
        <v>0</v>
      </c>
    </row>
    <row r="8" spans="1:19" ht="35.25" customHeight="1">
      <c r="A8" s="901"/>
      <c r="B8" s="902"/>
      <c r="C8" s="904">
        <v>613922</v>
      </c>
      <c r="D8" s="862" t="s">
        <v>472</v>
      </c>
      <c r="E8" s="871">
        <v>2000</v>
      </c>
      <c r="F8" s="869"/>
      <c r="G8" s="870"/>
      <c r="H8" s="747">
        <f t="shared" ref="H8:H19" si="2">SUM(E8:G8)</f>
        <v>2000</v>
      </c>
      <c r="I8" s="871"/>
      <c r="J8" s="869"/>
      <c r="K8" s="870"/>
      <c r="L8" s="747">
        <f t="shared" ref="L8:L10" si="3">SUM(I8:K8)</f>
        <v>0</v>
      </c>
      <c r="M8" s="871"/>
      <c r="N8" s="869"/>
      <c r="O8" s="870"/>
      <c r="P8" s="747">
        <f t="shared" ref="P8:P10" si="4">SUM(M8:O8)</f>
        <v>0</v>
      </c>
      <c r="Q8" s="875">
        <f t="shared" si="0"/>
        <v>0</v>
      </c>
      <c r="R8" s="897">
        <f t="shared" si="1"/>
        <v>0</v>
      </c>
    </row>
    <row r="9" spans="1:19" ht="35.25" customHeight="1">
      <c r="A9" s="905" t="s">
        <v>339</v>
      </c>
      <c r="B9" s="906"/>
      <c r="C9" s="907" t="s">
        <v>188</v>
      </c>
      <c r="D9" s="863" t="s">
        <v>776</v>
      </c>
      <c r="E9" s="872">
        <v>75000</v>
      </c>
      <c r="F9" s="873"/>
      <c r="G9" s="874"/>
      <c r="H9" s="747">
        <f t="shared" si="2"/>
        <v>75000</v>
      </c>
      <c r="I9" s="872"/>
      <c r="J9" s="873"/>
      <c r="K9" s="874"/>
      <c r="L9" s="747">
        <f t="shared" si="3"/>
        <v>0</v>
      </c>
      <c r="M9" s="872"/>
      <c r="N9" s="873"/>
      <c r="O9" s="874"/>
      <c r="P9" s="747">
        <f t="shared" si="4"/>
        <v>0</v>
      </c>
      <c r="Q9" s="875">
        <f t="shared" si="0"/>
        <v>0</v>
      </c>
      <c r="R9" s="897">
        <f t="shared" si="1"/>
        <v>0</v>
      </c>
    </row>
    <row r="10" spans="1:19" ht="35.25" customHeight="1">
      <c r="A10" s="905"/>
      <c r="B10" s="906"/>
      <c r="C10" s="907" t="s">
        <v>188</v>
      </c>
      <c r="D10" s="863" t="s">
        <v>1525</v>
      </c>
      <c r="E10" s="872"/>
      <c r="F10" s="873"/>
      <c r="G10" s="874">
        <v>45315</v>
      </c>
      <c r="H10" s="747">
        <f t="shared" si="2"/>
        <v>45315</v>
      </c>
      <c r="I10" s="872"/>
      <c r="J10" s="873"/>
      <c r="K10" s="874"/>
      <c r="L10" s="747">
        <f t="shared" si="3"/>
        <v>0</v>
      </c>
      <c r="M10" s="872"/>
      <c r="N10" s="873"/>
      <c r="O10" s="874"/>
      <c r="P10" s="747">
        <f t="shared" si="4"/>
        <v>0</v>
      </c>
      <c r="Q10" s="875">
        <f t="shared" si="0"/>
        <v>0</v>
      </c>
      <c r="R10" s="897">
        <f t="shared" si="1"/>
        <v>0</v>
      </c>
    </row>
    <row r="11" spans="1:19" ht="35.25" customHeight="1">
      <c r="A11" s="905"/>
      <c r="B11" s="906"/>
      <c r="C11" s="907" t="s">
        <v>188</v>
      </c>
      <c r="D11" s="863" t="s">
        <v>1237</v>
      </c>
      <c r="E11" s="872"/>
      <c r="F11" s="873"/>
      <c r="G11" s="870">
        <v>181000</v>
      </c>
      <c r="H11" s="908">
        <f>SUM(E11:G11)</f>
        <v>181000</v>
      </c>
      <c r="I11" s="872"/>
      <c r="J11" s="873"/>
      <c r="K11" s="870"/>
      <c r="L11" s="908">
        <f>SUM(I11:K11)</f>
        <v>0</v>
      </c>
      <c r="M11" s="872"/>
      <c r="N11" s="873"/>
      <c r="O11" s="870"/>
      <c r="P11" s="908">
        <f>SUM(M11:O11)</f>
        <v>0</v>
      </c>
      <c r="Q11" s="875">
        <f t="shared" si="0"/>
        <v>0</v>
      </c>
      <c r="R11" s="897">
        <f t="shared" si="1"/>
        <v>0</v>
      </c>
    </row>
    <row r="12" spans="1:19" ht="35.25" customHeight="1">
      <c r="A12" s="905"/>
      <c r="B12" s="906"/>
      <c r="C12" s="907"/>
      <c r="D12" s="863" t="s">
        <v>1647</v>
      </c>
      <c r="E12" s="872"/>
      <c r="F12" s="873"/>
      <c r="G12" s="870">
        <v>80000</v>
      </c>
      <c r="H12" s="908">
        <f t="shared" si="2"/>
        <v>80000</v>
      </c>
      <c r="I12" s="872"/>
      <c r="J12" s="873"/>
      <c r="K12" s="870"/>
      <c r="L12" s="908">
        <f t="shared" ref="L12:L19" si="5">SUM(I12:K12)</f>
        <v>0</v>
      </c>
      <c r="M12" s="872"/>
      <c r="N12" s="873"/>
      <c r="O12" s="870"/>
      <c r="P12" s="908">
        <f t="shared" ref="P12:P19" si="6">SUM(M12:O12)</f>
        <v>0</v>
      </c>
      <c r="Q12" s="875">
        <f t="shared" si="0"/>
        <v>0</v>
      </c>
      <c r="R12" s="897">
        <f t="shared" si="1"/>
        <v>0</v>
      </c>
    </row>
    <row r="13" spans="1:19" ht="35.25" customHeight="1">
      <c r="A13" s="909">
        <v>111</v>
      </c>
      <c r="B13" s="910">
        <v>621</v>
      </c>
      <c r="C13" s="910">
        <v>614311</v>
      </c>
      <c r="D13" s="864" t="s">
        <v>473</v>
      </c>
      <c r="E13" s="868">
        <v>100000</v>
      </c>
      <c r="F13" s="869"/>
      <c r="G13" s="870"/>
      <c r="H13" s="908">
        <f t="shared" si="2"/>
        <v>100000</v>
      </c>
      <c r="I13" s="868">
        <v>100000</v>
      </c>
      <c r="J13" s="869"/>
      <c r="K13" s="870"/>
      <c r="L13" s="908">
        <f t="shared" si="5"/>
        <v>100000</v>
      </c>
      <c r="M13" s="868">
        <v>100000</v>
      </c>
      <c r="N13" s="869"/>
      <c r="O13" s="870"/>
      <c r="P13" s="908">
        <f t="shared" si="6"/>
        <v>100000</v>
      </c>
      <c r="Q13" s="875">
        <f t="shared" si="0"/>
        <v>100</v>
      </c>
      <c r="R13" s="897">
        <f t="shared" si="1"/>
        <v>0</v>
      </c>
    </row>
    <row r="14" spans="1:19" ht="35.25" customHeight="1">
      <c r="A14" s="909" t="s">
        <v>319</v>
      </c>
      <c r="B14" s="910">
        <v>621</v>
      </c>
      <c r="C14" s="910" t="s">
        <v>195</v>
      </c>
      <c r="D14" s="864" t="s">
        <v>777</v>
      </c>
      <c r="E14" s="868">
        <v>280000</v>
      </c>
      <c r="F14" s="869"/>
      <c r="G14" s="870"/>
      <c r="H14" s="908">
        <f t="shared" si="2"/>
        <v>280000</v>
      </c>
      <c r="I14" s="868"/>
      <c r="J14" s="869"/>
      <c r="K14" s="870"/>
      <c r="L14" s="908">
        <f t="shared" si="5"/>
        <v>0</v>
      </c>
      <c r="M14" s="868"/>
      <c r="N14" s="869"/>
      <c r="O14" s="870"/>
      <c r="P14" s="908">
        <f t="shared" si="6"/>
        <v>0</v>
      </c>
      <c r="Q14" s="875">
        <f t="shared" si="0"/>
        <v>0</v>
      </c>
      <c r="R14" s="897">
        <f t="shared" si="1"/>
        <v>0</v>
      </c>
    </row>
    <row r="15" spans="1:19" ht="35.25" customHeight="1">
      <c r="A15" s="909" t="s">
        <v>474</v>
      </c>
      <c r="B15" s="910"/>
      <c r="C15" s="2430" t="s">
        <v>195</v>
      </c>
      <c r="D15" s="2433" t="s">
        <v>475</v>
      </c>
      <c r="E15" s="868"/>
      <c r="F15" s="869"/>
      <c r="G15" s="870">
        <v>69574</v>
      </c>
      <c r="H15" s="908">
        <f t="shared" si="2"/>
        <v>69574</v>
      </c>
      <c r="I15" s="868"/>
      <c r="J15" s="869"/>
      <c r="K15" s="870"/>
      <c r="L15" s="908">
        <f t="shared" si="5"/>
        <v>0</v>
      </c>
      <c r="M15" s="868"/>
      <c r="N15" s="869"/>
      <c r="O15" s="870"/>
      <c r="P15" s="908">
        <f t="shared" si="6"/>
        <v>0</v>
      </c>
      <c r="Q15" s="875">
        <f t="shared" si="0"/>
        <v>0</v>
      </c>
      <c r="R15" s="897">
        <f t="shared" si="1"/>
        <v>0</v>
      </c>
    </row>
    <row r="16" spans="1:19" ht="35.25" customHeight="1">
      <c r="A16" s="909" t="s">
        <v>474</v>
      </c>
      <c r="B16" s="910"/>
      <c r="C16" s="2430" t="s">
        <v>195</v>
      </c>
      <c r="D16" s="2433" t="s">
        <v>477</v>
      </c>
      <c r="E16" s="868"/>
      <c r="F16" s="869"/>
      <c r="G16" s="870">
        <v>81630</v>
      </c>
      <c r="H16" s="908">
        <f t="shared" si="2"/>
        <v>81630</v>
      </c>
      <c r="I16" s="868"/>
      <c r="J16" s="869"/>
      <c r="K16" s="870"/>
      <c r="L16" s="908">
        <f t="shared" si="5"/>
        <v>0</v>
      </c>
      <c r="M16" s="868"/>
      <c r="N16" s="869"/>
      <c r="O16" s="870"/>
      <c r="P16" s="908">
        <f t="shared" si="6"/>
        <v>0</v>
      </c>
      <c r="Q16" s="875">
        <f t="shared" si="0"/>
        <v>0</v>
      </c>
      <c r="R16" s="897">
        <f t="shared" si="1"/>
        <v>0</v>
      </c>
    </row>
    <row r="17" spans="1:18" ht="35.25" customHeight="1">
      <c r="A17" s="909" t="s">
        <v>478</v>
      </c>
      <c r="B17" s="910"/>
      <c r="C17" s="2430" t="s">
        <v>195</v>
      </c>
      <c r="D17" s="2433" t="s">
        <v>778</v>
      </c>
      <c r="E17" s="868"/>
      <c r="F17" s="869">
        <v>110000</v>
      </c>
      <c r="G17" s="870"/>
      <c r="H17" s="908">
        <f t="shared" si="2"/>
        <v>110000</v>
      </c>
      <c r="I17" s="868"/>
      <c r="J17" s="869"/>
      <c r="K17" s="870"/>
      <c r="L17" s="908">
        <f t="shared" si="5"/>
        <v>0</v>
      </c>
      <c r="M17" s="868"/>
      <c r="N17" s="869"/>
      <c r="O17" s="870"/>
      <c r="P17" s="908">
        <f t="shared" si="6"/>
        <v>0</v>
      </c>
      <c r="Q17" s="875">
        <f t="shared" si="0"/>
        <v>0</v>
      </c>
      <c r="R17" s="897">
        <f t="shared" si="1"/>
        <v>0</v>
      </c>
    </row>
    <row r="18" spans="1:18" ht="35.25" customHeight="1">
      <c r="A18" s="909" t="s">
        <v>478</v>
      </c>
      <c r="B18" s="910"/>
      <c r="C18" s="2430" t="s">
        <v>195</v>
      </c>
      <c r="D18" s="2433" t="s">
        <v>779</v>
      </c>
      <c r="E18" s="868"/>
      <c r="F18" s="869">
        <v>814027</v>
      </c>
      <c r="G18" s="870"/>
      <c r="H18" s="908">
        <f t="shared" si="2"/>
        <v>814027</v>
      </c>
      <c r="I18" s="868"/>
      <c r="J18" s="869"/>
      <c r="K18" s="870"/>
      <c r="L18" s="908">
        <f t="shared" si="5"/>
        <v>0</v>
      </c>
      <c r="M18" s="868"/>
      <c r="N18" s="869"/>
      <c r="O18" s="870"/>
      <c r="P18" s="908">
        <f t="shared" si="6"/>
        <v>0</v>
      </c>
      <c r="Q18" s="875">
        <f t="shared" si="0"/>
        <v>0</v>
      </c>
      <c r="R18" s="897">
        <f t="shared" si="1"/>
        <v>0</v>
      </c>
    </row>
    <row r="19" spans="1:18" ht="35.25" customHeight="1">
      <c r="A19" s="909"/>
      <c r="B19" s="910"/>
      <c r="C19" s="2430" t="s">
        <v>195</v>
      </c>
      <c r="D19" s="2434" t="s">
        <v>1651</v>
      </c>
      <c r="E19" s="868"/>
      <c r="F19" s="869"/>
      <c r="G19" s="870">
        <v>100000</v>
      </c>
      <c r="H19" s="908">
        <f t="shared" si="2"/>
        <v>100000</v>
      </c>
      <c r="I19" s="868"/>
      <c r="J19" s="869"/>
      <c r="K19" s="870"/>
      <c r="L19" s="908">
        <f t="shared" si="5"/>
        <v>0</v>
      </c>
      <c r="M19" s="868"/>
      <c r="N19" s="869"/>
      <c r="O19" s="870"/>
      <c r="P19" s="908">
        <f t="shared" si="6"/>
        <v>0</v>
      </c>
      <c r="Q19" s="875">
        <f t="shared" si="0"/>
        <v>0</v>
      </c>
      <c r="R19" s="897">
        <f t="shared" si="1"/>
        <v>0</v>
      </c>
    </row>
    <row r="20" spans="1:18" ht="33" customHeight="1">
      <c r="A20" s="855"/>
      <c r="B20" s="856"/>
      <c r="C20" s="2431"/>
      <c r="D20" s="2435" t="s">
        <v>1526</v>
      </c>
      <c r="E20" s="979">
        <f>SUM(E7:E19)</f>
        <v>464500</v>
      </c>
      <c r="F20" s="980">
        <f>SUM(F17)</f>
        <v>110000</v>
      </c>
      <c r="G20" s="981">
        <f>SUM(G11)</f>
        <v>181000</v>
      </c>
      <c r="H20" s="982">
        <f>E20+F20+G20</f>
        <v>755500</v>
      </c>
      <c r="I20" s="979">
        <f>SUM(I7:I19)</f>
        <v>100000</v>
      </c>
      <c r="J20" s="980">
        <f>SUM(J17)</f>
        <v>0</v>
      </c>
      <c r="K20" s="981">
        <f>SUM(K11)</f>
        <v>0</v>
      </c>
      <c r="L20" s="982">
        <f>I20+J20+K20</f>
        <v>100000</v>
      </c>
      <c r="M20" s="979"/>
      <c r="N20" s="980"/>
      <c r="O20" s="981"/>
      <c r="P20" s="982"/>
      <c r="Q20" s="2429"/>
      <c r="R20" s="897">
        <f t="shared" si="1"/>
        <v>0</v>
      </c>
    </row>
    <row r="21" spans="1:18" ht="30.6" customHeight="1">
      <c r="A21" s="857"/>
      <c r="B21" s="858"/>
      <c r="C21" s="2432"/>
      <c r="D21" s="2436" t="s">
        <v>780</v>
      </c>
      <c r="E21" s="983"/>
      <c r="F21" s="980">
        <f>F18</f>
        <v>814027</v>
      </c>
      <c r="G21" s="981">
        <f>SUM(G10,G12,G15,G16,G19)</f>
        <v>376519</v>
      </c>
      <c r="H21" s="982">
        <f>E21+F21+G21</f>
        <v>1190546</v>
      </c>
      <c r="I21" s="983"/>
      <c r="J21" s="980">
        <f>J18</f>
        <v>0</v>
      </c>
      <c r="K21" s="981">
        <f>SUM(K10,K12,K15,K16,K19)</f>
        <v>0</v>
      </c>
      <c r="L21" s="982">
        <f>I21+J21+K21</f>
        <v>0</v>
      </c>
      <c r="M21" s="983"/>
      <c r="N21" s="980"/>
      <c r="O21" s="981"/>
      <c r="P21" s="982"/>
      <c r="Q21" s="2429"/>
      <c r="R21" s="897">
        <f t="shared" si="1"/>
        <v>0</v>
      </c>
    </row>
    <row r="22" spans="1:18" ht="19.5" thickBot="1">
      <c r="A22" s="853"/>
      <c r="B22" s="854"/>
      <c r="C22" s="2190"/>
      <c r="D22" s="2415"/>
      <c r="E22" s="984">
        <f>SUM(E20:E21)</f>
        <v>464500</v>
      </c>
      <c r="F22" s="985">
        <f t="shared" ref="F22:H22" si="7">SUM(F20:F21)</f>
        <v>924027</v>
      </c>
      <c r="G22" s="986">
        <f t="shared" si="7"/>
        <v>557519</v>
      </c>
      <c r="H22" s="987">
        <f t="shared" si="7"/>
        <v>1946046</v>
      </c>
      <c r="I22" s="984">
        <f>SUM(I20:I21)</f>
        <v>100000</v>
      </c>
      <c r="J22" s="985">
        <f t="shared" ref="J22:L22" si="8">SUM(J20:J21)</f>
        <v>0</v>
      </c>
      <c r="K22" s="986">
        <f t="shared" si="8"/>
        <v>0</v>
      </c>
      <c r="L22" s="987">
        <f t="shared" si="8"/>
        <v>100000</v>
      </c>
      <c r="M22" s="984"/>
      <c r="N22" s="985"/>
      <c r="O22" s="986"/>
      <c r="P22" s="987"/>
      <c r="Q22" s="2169"/>
      <c r="R22" s="897">
        <f t="shared" si="1"/>
        <v>0</v>
      </c>
    </row>
    <row r="23" spans="1:18" ht="15.75" thickTop="1"/>
  </sheetData>
  <mergeCells count="8">
    <mergeCell ref="E2:H2"/>
    <mergeCell ref="Q2:Q3"/>
    <mergeCell ref="M2:P2"/>
    <mergeCell ref="A2:A3"/>
    <mergeCell ref="B2:B3"/>
    <mergeCell ref="C2:C3"/>
    <mergeCell ref="D2:D3"/>
    <mergeCell ref="I2:L2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50" orientation="landscape" r:id="rId1"/>
  <headerFooter>
    <oddHeader>&amp;RPrilog br.5</oddHeader>
    <oddFooter>&amp;L&amp;"Times New Roman,Uobičajeno"&amp;12&amp;K00-029 Budžet Grada Mostara za 2022
.g.-Služba za građenje i obnovu&amp;C&amp;12&amp;P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3"/>
  <sheetViews>
    <sheetView view="pageBreakPreview" topLeftCell="A6" zoomScale="55" zoomScaleSheetLayoutView="55" workbookViewId="0">
      <selection activeCell="E13" sqref="E13"/>
    </sheetView>
  </sheetViews>
  <sheetFormatPr defaultRowHeight="19.5"/>
  <cols>
    <col min="4" max="4" width="63.28515625" style="249" bestFit="1" customWidth="1"/>
    <col min="5" max="5" width="32.28515625" style="245" bestFit="1" customWidth="1"/>
    <col min="6" max="6" width="19.85546875" style="245" customWidth="1"/>
    <col min="7" max="7" width="16.7109375" style="275" customWidth="1"/>
    <col min="8" max="8" width="17.85546875" style="275" customWidth="1"/>
    <col min="9" max="9" width="16" style="275" bestFit="1" customWidth="1"/>
    <col min="10" max="13" width="9.140625" style="275"/>
  </cols>
  <sheetData>
    <row r="1" spans="1:13" s="252" customFormat="1">
      <c r="A1" s="3301" t="s">
        <v>0</v>
      </c>
      <c r="B1" s="3302"/>
      <c r="C1" s="3303"/>
      <c r="D1" s="251" t="s">
        <v>1</v>
      </c>
      <c r="E1" s="251" t="s">
        <v>2</v>
      </c>
      <c r="F1" s="251" t="s">
        <v>3</v>
      </c>
      <c r="G1" s="273"/>
      <c r="H1" s="273"/>
      <c r="I1" s="273"/>
      <c r="J1" s="273"/>
      <c r="K1" s="273"/>
      <c r="L1" s="273"/>
      <c r="M1" s="273"/>
    </row>
    <row r="2" spans="1:13" ht="45.75" customHeight="1">
      <c r="A2" s="1" t="s">
        <v>4</v>
      </c>
      <c r="B2" s="1"/>
      <c r="C2" s="1"/>
      <c r="D2" s="250" t="s">
        <v>5</v>
      </c>
      <c r="E2" s="261">
        <f>E3+E7</f>
        <v>83887936</v>
      </c>
      <c r="F2" s="261" t="e">
        <f>F3+F7</f>
        <v>#REF!</v>
      </c>
      <c r="G2" s="274">
        <f>'[4]BUDŽET 2021'!$Q$230</f>
        <v>76979750.74000001</v>
      </c>
      <c r="H2" s="274" t="e">
        <f>G2-F2</f>
        <v>#REF!</v>
      </c>
    </row>
    <row r="3" spans="1:13" ht="45.75" customHeight="1">
      <c r="A3" s="1"/>
      <c r="B3" s="1" t="s">
        <v>6</v>
      </c>
      <c r="C3" s="1"/>
      <c r="D3" s="248" t="s">
        <v>7</v>
      </c>
      <c r="E3" s="261">
        <f>E4+E5+E6</f>
        <v>83863937</v>
      </c>
      <c r="F3" s="261" t="e">
        <f>F4+F5+F6</f>
        <v>#REF!</v>
      </c>
      <c r="G3" s="274">
        <f>'[4]BUDŽET 2021'!$Q$230</f>
        <v>76979750.74000001</v>
      </c>
      <c r="H3" s="274" t="e">
        <f t="shared" ref="H3:H6" si="0">G3-F3</f>
        <v>#REF!</v>
      </c>
    </row>
    <row r="4" spans="1:13" ht="45.75" customHeight="1">
      <c r="A4" s="1"/>
      <c r="B4" s="1"/>
      <c r="C4" s="1" t="s">
        <v>8</v>
      </c>
      <c r="D4" s="247" t="s">
        <v>9</v>
      </c>
      <c r="E4" s="262">
        <f>'[5]BUDŽET 2021'!H8</f>
        <v>30949513</v>
      </c>
      <c r="F4" s="262" t="e">
        <f>'Prihodi-opći dio'!#REF!</f>
        <v>#REF!</v>
      </c>
      <c r="G4" s="274">
        <f>'[4]BUDŽET 2021'!$Q$55</f>
        <v>30296586.52</v>
      </c>
      <c r="H4" s="274" t="e">
        <f t="shared" si="0"/>
        <v>#REF!</v>
      </c>
    </row>
    <row r="5" spans="1:13" ht="45.75" customHeight="1">
      <c r="A5" s="1"/>
      <c r="B5" s="1"/>
      <c r="C5" s="1" t="s">
        <v>10</v>
      </c>
      <c r="D5" s="247" t="s">
        <v>11</v>
      </c>
      <c r="E5" s="262">
        <v>43513490</v>
      </c>
      <c r="F5" s="262" t="e">
        <f>'Prihodi-opći dio'!#REF!</f>
        <v>#REF!</v>
      </c>
      <c r="G5" s="274">
        <f>'[4]BUDŽET 2021'!$Q$85</f>
        <v>36334627.200000003</v>
      </c>
      <c r="H5" s="274" t="e">
        <f t="shared" si="0"/>
        <v>#REF!</v>
      </c>
    </row>
    <row r="6" spans="1:13" ht="45.75" customHeight="1">
      <c r="A6" s="1"/>
      <c r="B6" s="1"/>
      <c r="C6" s="1" t="s">
        <v>12</v>
      </c>
      <c r="D6" s="247" t="s">
        <v>13</v>
      </c>
      <c r="E6" s="262">
        <v>9400934</v>
      </c>
      <c r="F6" s="262" t="e">
        <f>'Prihodi-opći dio'!#REF!+'Prihodi-opći dio'!#REF!</f>
        <v>#REF!</v>
      </c>
      <c r="G6" s="274">
        <f>'[4]BUDŽET 2021'!$Q$204+'[4]BUDŽET 2021'!$Q$217</f>
        <v>10348537.539999999</v>
      </c>
      <c r="H6" s="274" t="e">
        <f t="shared" si="0"/>
        <v>#REF!</v>
      </c>
    </row>
    <row r="7" spans="1:13" ht="45.75" customHeight="1">
      <c r="A7" s="1"/>
      <c r="B7" s="1" t="s">
        <v>14</v>
      </c>
      <c r="C7" s="1"/>
      <c r="D7" s="248" t="s">
        <v>15</v>
      </c>
      <c r="E7" s="263">
        <v>23999</v>
      </c>
      <c r="F7" s="261"/>
    </row>
    <row r="8" spans="1:13" ht="45.75" customHeight="1">
      <c r="A8" s="1" t="s">
        <v>16</v>
      </c>
      <c r="B8" s="1"/>
      <c r="C8" s="1"/>
      <c r="D8" s="248" t="s">
        <v>17</v>
      </c>
      <c r="E8" s="261">
        <f>E9+E16</f>
        <v>82650936</v>
      </c>
      <c r="F8" s="261" t="e">
        <f>F9+F16</f>
        <v>#REF!</v>
      </c>
    </row>
    <row r="9" spans="1:13" ht="45.75" customHeight="1">
      <c r="A9" s="1"/>
      <c r="B9" s="1" t="s">
        <v>18</v>
      </c>
      <c r="C9" s="1"/>
      <c r="D9" s="248" t="s">
        <v>19</v>
      </c>
      <c r="E9" s="261">
        <f>E10+E11+E12+E13+E14+E15</f>
        <v>53059682</v>
      </c>
      <c r="F9" s="261" t="e">
        <f>F10+F11+F12+F13+F14+F15</f>
        <v>#REF!</v>
      </c>
    </row>
    <row r="10" spans="1:13" ht="45.75" customHeight="1">
      <c r="A10" s="1"/>
      <c r="B10" s="1"/>
      <c r="C10" s="1" t="s">
        <v>20</v>
      </c>
      <c r="D10" s="260" t="s">
        <v>21</v>
      </c>
      <c r="E10" s="262">
        <f>'[5]BUDŽET 2021'!K254+'[5]BUDŽET 2021'!K257</f>
        <v>15778597</v>
      </c>
      <c r="F10" s="262" t="e">
        <f>'Rashodi i izdaci-opći dio'!#REF!+'Rashodi i izdaci-opći dio'!#REF!</f>
        <v>#REF!</v>
      </c>
      <c r="G10" s="274">
        <f>'[4]BUDŽET 2021'!$Q$253+'[4]BUDŽET 2021'!$Q$256</f>
        <v>15886480</v>
      </c>
      <c r="H10" s="274">
        <f>'[4]BUDŽET 2021'!$K$253+'[4]BUDŽET 2021'!$K$256</f>
        <v>15778597</v>
      </c>
    </row>
    <row r="11" spans="1:13" ht="45.75" customHeight="1">
      <c r="A11" s="1"/>
      <c r="B11" s="1"/>
      <c r="C11" s="1" t="s">
        <v>22</v>
      </c>
      <c r="D11" s="247" t="s">
        <v>23</v>
      </c>
      <c r="E11" s="262">
        <f>'[5]BUDŽET 2021'!K259</f>
        <v>18995252</v>
      </c>
      <c r="F11" s="262" t="e">
        <f>'Rashodi i izdaci-opći dio'!#REF!</f>
        <v>#REF!</v>
      </c>
      <c r="G11" s="274">
        <f>'[4]BUDŽET 2021'!$Q$258</f>
        <v>18654337</v>
      </c>
      <c r="H11" s="274">
        <f>'[4]BUDŽET 2021'!$K$258</f>
        <v>18995252</v>
      </c>
    </row>
    <row r="12" spans="1:13" ht="45.75" customHeight="1">
      <c r="A12" s="1"/>
      <c r="B12" s="1"/>
      <c r="C12" s="1" t="s">
        <v>24</v>
      </c>
      <c r="D12" s="247" t="s">
        <v>25</v>
      </c>
      <c r="E12" s="262">
        <v>15414833</v>
      </c>
      <c r="F12" s="262">
        <v>13748932</v>
      </c>
      <c r="G12" s="274">
        <f>'[4]BUDŽET 2021'!$Q$273+'[4]BUDŽET 2021'!$Q$283</f>
        <v>13748931.26</v>
      </c>
      <c r="H12" s="274">
        <f>'[4]BUDŽET 2021'!$K$273</f>
        <v>15414834.01</v>
      </c>
    </row>
    <row r="13" spans="1:13" ht="45.75" customHeight="1">
      <c r="A13" s="1"/>
      <c r="B13" s="1"/>
      <c r="C13" s="1" t="s">
        <v>26</v>
      </c>
      <c r="D13" s="247" t="s">
        <v>27</v>
      </c>
      <c r="E13" s="262">
        <v>2502000</v>
      </c>
      <c r="F13" s="262" t="e">
        <f>'Rashodi i izdaci-opći dio'!#REF!</f>
        <v>#REF!</v>
      </c>
      <c r="G13" s="274">
        <f>'[4]BUDŽET 2021'!$Q$284</f>
        <v>449315</v>
      </c>
      <c r="H13" s="274">
        <f>'[4]BUDŽET 2021'!$K$284+'[4]BUDŽET 2021'!$K$285</f>
        <v>2502000</v>
      </c>
    </row>
    <row r="14" spans="1:13" ht="45.75" customHeight="1">
      <c r="A14" s="1"/>
      <c r="B14" s="1"/>
      <c r="C14" s="1" t="s">
        <v>28</v>
      </c>
      <c r="D14" s="247" t="s">
        <v>29</v>
      </c>
      <c r="E14" s="262">
        <v>319000</v>
      </c>
      <c r="F14" s="262" t="e">
        <f>'Rashodi i izdaci-opći dio'!#REF!</f>
        <v>#REF!</v>
      </c>
      <c r="H14" s="274">
        <f>'[4]BUDŽET 2021'!$K$286</f>
        <v>319000</v>
      </c>
    </row>
    <row r="15" spans="1:13" ht="45.75" customHeight="1">
      <c r="A15" s="1"/>
      <c r="B15" s="1"/>
      <c r="C15" s="1" t="s">
        <v>30</v>
      </c>
      <c r="D15" s="247" t="s">
        <v>31</v>
      </c>
      <c r="E15" s="262">
        <v>50000</v>
      </c>
      <c r="F15" s="262">
        <v>50000</v>
      </c>
    </row>
    <row r="16" spans="1:13" ht="45.75" customHeight="1">
      <c r="A16" s="1"/>
      <c r="B16" s="1" t="s">
        <v>32</v>
      </c>
      <c r="C16" s="1"/>
      <c r="D16" s="248" t="s">
        <v>33</v>
      </c>
      <c r="E16" s="261">
        <v>29591254</v>
      </c>
      <c r="F16" s="261">
        <v>25431687</v>
      </c>
      <c r="G16" s="274">
        <f>'[4]BUDŽET 2021'!$Q$291</f>
        <v>25431687.289999999</v>
      </c>
      <c r="H16" s="274">
        <f>'[4]BUDŽET 2021'!$K$291+'[4]BUDŽET 2021'!$K$292</f>
        <v>29591275.149999999</v>
      </c>
    </row>
    <row r="17" spans="1:9" ht="45.75" customHeight="1">
      <c r="A17" s="2" t="s">
        <v>34</v>
      </c>
      <c r="B17" s="1"/>
      <c r="C17" s="1"/>
      <c r="D17" s="250" t="s">
        <v>35</v>
      </c>
      <c r="E17" s="261">
        <f>E3-E9</f>
        <v>30804255</v>
      </c>
      <c r="F17" s="261" t="e">
        <f>F3-F9</f>
        <v>#REF!</v>
      </c>
      <c r="G17" s="274" t="e">
        <f>F3-F9</f>
        <v>#REF!</v>
      </c>
      <c r="I17" s="274">
        <f>H16-21</f>
        <v>29591254.149999999</v>
      </c>
    </row>
    <row r="18" spans="1:9" ht="45.75" customHeight="1">
      <c r="A18" s="1" t="s">
        <v>36</v>
      </c>
      <c r="B18" s="1"/>
      <c r="C18" s="1"/>
      <c r="D18" s="250" t="s">
        <v>37</v>
      </c>
      <c r="E18" s="261">
        <f>E7-E16</f>
        <v>-29567255</v>
      </c>
      <c r="F18" s="261">
        <f>F7-F16</f>
        <v>-25431687</v>
      </c>
    </row>
    <row r="19" spans="1:9" ht="45.75" customHeight="1">
      <c r="A19" s="1" t="s">
        <v>38</v>
      </c>
      <c r="B19" s="1"/>
      <c r="C19" s="1"/>
      <c r="D19" s="250" t="s">
        <v>39</v>
      </c>
      <c r="E19" s="261"/>
      <c r="F19" s="261"/>
    </row>
    <row r="20" spans="1:9" ht="45.75" customHeight="1">
      <c r="A20" s="1" t="s">
        <v>40</v>
      </c>
      <c r="B20" s="1"/>
      <c r="C20" s="1"/>
      <c r="D20" s="250" t="s">
        <v>41</v>
      </c>
      <c r="E20" s="262">
        <v>1237000</v>
      </c>
      <c r="F20" s="262">
        <v>2400000</v>
      </c>
      <c r="H20" s="274">
        <f>'[4]BUDŽET 2021'!$K$290</f>
        <v>1237000</v>
      </c>
    </row>
    <row r="21" spans="1:9" ht="45.75" customHeight="1">
      <c r="A21" s="1" t="s">
        <v>42</v>
      </c>
      <c r="B21" s="1"/>
      <c r="C21" s="1"/>
      <c r="D21" s="248" t="s">
        <v>43</v>
      </c>
      <c r="E21" s="264">
        <f>E19-E20</f>
        <v>-1237000</v>
      </c>
      <c r="F21" s="264">
        <f>F19-F20</f>
        <v>-2400000</v>
      </c>
    </row>
    <row r="22" spans="1:9" ht="45.75" customHeight="1">
      <c r="A22" s="1" t="s">
        <v>44</v>
      </c>
      <c r="B22" s="1"/>
      <c r="C22" s="1"/>
      <c r="D22" s="250" t="s">
        <v>45</v>
      </c>
      <c r="E22" s="261">
        <f>E17+E18</f>
        <v>1237000</v>
      </c>
      <c r="F22" s="261" t="e">
        <f>F17+F18</f>
        <v>#REF!</v>
      </c>
    </row>
    <row r="23" spans="1:9" ht="45.75" customHeight="1">
      <c r="A23" s="1" t="s">
        <v>46</v>
      </c>
      <c r="B23" s="1"/>
      <c r="C23" s="1"/>
      <c r="D23" s="250" t="s">
        <v>47</v>
      </c>
      <c r="E23" s="261">
        <f>E21+E22</f>
        <v>0</v>
      </c>
      <c r="F23" s="261" t="e">
        <f>F21+F22</f>
        <v>#REF!</v>
      </c>
    </row>
  </sheetData>
  <mergeCells count="1">
    <mergeCell ref="A1:C1"/>
  </mergeCells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7"/>
  <dimension ref="A1:AA169"/>
  <sheetViews>
    <sheetView view="pageBreakPreview" topLeftCell="A160" zoomScale="55" zoomScaleNormal="100" zoomScaleSheetLayoutView="55" workbookViewId="0">
      <selection activeCell="I116" sqref="I116"/>
    </sheetView>
  </sheetViews>
  <sheetFormatPr defaultRowHeight="50.1" customHeight="1"/>
  <cols>
    <col min="1" max="1" width="9.140625" style="327"/>
    <col min="2" max="2" width="13.85546875" style="3026" hidden="1" customWidth="1"/>
    <col min="3" max="3" width="17.7109375" style="327" customWidth="1"/>
    <col min="4" max="4" width="82" style="327" customWidth="1"/>
    <col min="5" max="5" width="52.42578125" style="327" customWidth="1"/>
    <col min="6" max="11" width="23.42578125" style="327" customWidth="1"/>
    <col min="12" max="22" width="20.28515625" customWidth="1"/>
    <col min="23" max="23" width="13.7109375" style="275" customWidth="1"/>
    <col min="24" max="25" width="18" style="275" customWidth="1"/>
    <col min="26" max="26" width="11.85546875" style="275" bestFit="1" customWidth="1"/>
    <col min="27" max="27" width="8.85546875" style="275"/>
  </cols>
  <sheetData>
    <row r="1" spans="1:27" ht="50.1" customHeight="1" thickBot="1">
      <c r="D1" s="1961" t="s">
        <v>1555</v>
      </c>
    </row>
    <row r="2" spans="1:27" s="341" customFormat="1" ht="50.1" customHeight="1" thickTop="1">
      <c r="A2" s="3027" t="s">
        <v>0</v>
      </c>
      <c r="B2" s="3028"/>
      <c r="C2" s="3029"/>
      <c r="D2" s="3030" t="s">
        <v>896</v>
      </c>
      <c r="E2" s="3031" t="s">
        <v>628</v>
      </c>
      <c r="F2" s="2965" t="s">
        <v>1291</v>
      </c>
      <c r="G2" s="3032" t="s">
        <v>1292</v>
      </c>
      <c r="H2" s="2966" t="s">
        <v>1293</v>
      </c>
      <c r="I2" s="3033" t="s">
        <v>1291</v>
      </c>
      <c r="J2" s="3034" t="s">
        <v>1652</v>
      </c>
      <c r="K2" s="3035" t="s">
        <v>1293</v>
      </c>
      <c r="L2" s="345"/>
      <c r="M2" s="345"/>
      <c r="N2" s="345"/>
      <c r="O2" s="345"/>
      <c r="P2" s="345"/>
      <c r="Q2" s="345"/>
      <c r="R2" s="345"/>
      <c r="S2" s="345"/>
      <c r="T2" s="340"/>
      <c r="U2" s="340"/>
      <c r="V2" s="340"/>
      <c r="W2" s="340"/>
      <c r="X2" s="340"/>
    </row>
    <row r="3" spans="1:27" s="341" customFormat="1" ht="50.1" customHeight="1">
      <c r="A3" s="3036"/>
      <c r="B3" s="3037"/>
      <c r="C3" s="3038"/>
      <c r="D3" s="3039"/>
      <c r="E3" s="3040"/>
      <c r="F3" s="923">
        <v>1</v>
      </c>
      <c r="G3" s="924">
        <v>2</v>
      </c>
      <c r="H3" s="1431" t="s">
        <v>1666</v>
      </c>
      <c r="I3" s="1436">
        <v>4</v>
      </c>
      <c r="J3" s="1437">
        <v>5</v>
      </c>
      <c r="K3" s="925" t="s">
        <v>1667</v>
      </c>
      <c r="L3" s="346"/>
      <c r="M3" s="346">
        <f>F5+G5</f>
        <v>10438551.25</v>
      </c>
      <c r="N3" s="346">
        <f>H5+'GP KAPITA GRA'!F5</f>
        <v>10723551.25</v>
      </c>
      <c r="O3" s="346">
        <f>'Rashodi i izdaci-poseban dio'!W343</f>
        <v>0</v>
      </c>
      <c r="P3" s="346">
        <f>'prihodi posebni dio'!T40</f>
        <v>11005760</v>
      </c>
      <c r="Q3" s="346"/>
      <c r="R3" s="346"/>
      <c r="S3" s="346"/>
      <c r="T3" s="340"/>
      <c r="U3" s="340"/>
      <c r="V3" s="340"/>
      <c r="W3" s="340"/>
      <c r="X3" s="340"/>
    </row>
    <row r="4" spans="1:27" s="341" customFormat="1" ht="50.1" customHeight="1">
      <c r="A4" s="3036"/>
      <c r="B4" s="3037"/>
      <c r="C4" s="3038"/>
      <c r="D4" s="3041" t="s">
        <v>464</v>
      </c>
      <c r="E4" s="3040"/>
      <c r="F4" s="3042"/>
      <c r="G4" s="3043"/>
      <c r="H4" s="1475"/>
      <c r="I4" s="3044"/>
      <c r="J4" s="3045"/>
      <c r="K4" s="3046"/>
      <c r="L4" s="346"/>
      <c r="M4" s="346">
        <f>'GP KAPITA GRA'!D5+'GP KAPITA GRA'!E5</f>
        <v>285000</v>
      </c>
      <c r="N4" s="346"/>
      <c r="O4" s="346"/>
      <c r="P4" s="346">
        <f>'GP KAPITA GRA'!F5</f>
        <v>285000</v>
      </c>
      <c r="Q4" s="346"/>
      <c r="R4" s="346"/>
      <c r="S4" s="346"/>
      <c r="T4" s="340"/>
      <c r="U4" s="340"/>
      <c r="V4" s="340"/>
      <c r="W4" s="340"/>
      <c r="X4" s="340"/>
    </row>
    <row r="5" spans="1:27" s="341" customFormat="1" ht="50.1" customHeight="1" thickBot="1">
      <c r="A5" s="3047"/>
      <c r="B5" s="3048"/>
      <c r="C5" s="3038"/>
      <c r="D5" s="3049" t="s">
        <v>1238</v>
      </c>
      <c r="E5" s="3050"/>
      <c r="F5" s="3051">
        <f>F6+F32+F52+F79+F91+F120+F153+F162</f>
        <v>4483333.25</v>
      </c>
      <c r="G5" s="3052">
        <f>G6+G32+G52+G79+G91+G120+G153+G162</f>
        <v>5955218</v>
      </c>
      <c r="H5" s="1335">
        <f>F5+G5</f>
        <v>10438551.25</v>
      </c>
      <c r="I5" s="3053">
        <f>I6+I32+I52+I79+I91+I120+I153+I162</f>
        <v>0</v>
      </c>
      <c r="J5" s="3054">
        <f>J6+J32+J52+J79+J91+J120+J153+J162</f>
        <v>4036167</v>
      </c>
      <c r="K5" s="3055">
        <f>I5+J5</f>
        <v>4036167</v>
      </c>
      <c r="L5" s="345">
        <f>F5+G5-H5</f>
        <v>0</v>
      </c>
      <c r="M5" s="345">
        <f>P3-M4</f>
        <v>10720760</v>
      </c>
      <c r="N5" s="345">
        <f>M5-H5</f>
        <v>282208.75</v>
      </c>
      <c r="O5" s="345">
        <f>G5+'GP KAPITA GRA'!E5</f>
        <v>6220218</v>
      </c>
      <c r="P5" s="345">
        <f>P3-P4</f>
        <v>10720760</v>
      </c>
      <c r="Q5" s="345"/>
      <c r="R5" s="345"/>
      <c r="S5" s="345"/>
      <c r="T5" s="347">
        <f>'[13]BUDŽET 2021'!$N$870</f>
        <v>10495374.860000001</v>
      </c>
      <c r="U5" s="347">
        <f>'[14]BUDŽET 2021'!$N$867</f>
        <v>9226624.8599999994</v>
      </c>
      <c r="V5" s="347" t="e">
        <f>T5-#REF!</f>
        <v>#REF!</v>
      </c>
      <c r="W5" s="340"/>
      <c r="X5" s="340"/>
    </row>
    <row r="6" spans="1:27" s="341" customFormat="1" ht="50.1" customHeight="1" thickTop="1">
      <c r="A6" s="3056"/>
      <c r="B6" s="3057"/>
      <c r="C6" s="3038"/>
      <c r="D6" s="3058" t="s">
        <v>954</v>
      </c>
      <c r="E6" s="3059" t="s">
        <v>955</v>
      </c>
      <c r="F6" s="3060">
        <f t="shared" ref="F6:I6" si="0">SUM(F7:F30)</f>
        <v>368972.47</v>
      </c>
      <c r="G6" s="3061">
        <f t="shared" si="0"/>
        <v>572770</v>
      </c>
      <c r="H6" s="3062">
        <f t="shared" si="0"/>
        <v>941742.47000000009</v>
      </c>
      <c r="I6" s="3033">
        <f t="shared" si="0"/>
        <v>0</v>
      </c>
      <c r="J6" s="3034">
        <f>SUM(J7:J30)</f>
        <v>250000</v>
      </c>
      <c r="K6" s="3063">
        <f>SUM(K7:K30)</f>
        <v>250000</v>
      </c>
      <c r="L6" s="345">
        <f>'Rashodi i izdaci-poseban dio'!W344</f>
        <v>820000</v>
      </c>
      <c r="M6" s="346">
        <f>M5-H5</f>
        <v>282208.75</v>
      </c>
      <c r="N6" s="346">
        <f>'GP KAPITA GRA'!F5</f>
        <v>285000</v>
      </c>
      <c r="O6" s="346" t="e">
        <f>'GP Prihodi'!#REF!</f>
        <v>#REF!</v>
      </c>
      <c r="P6" s="346"/>
      <c r="Q6" s="346"/>
      <c r="R6" s="346"/>
      <c r="S6" s="346"/>
      <c r="T6" s="347">
        <f>'[13]BUDŽET 2021'!$N$871</f>
        <v>941741.98</v>
      </c>
      <c r="U6" s="347">
        <f>'[13]BUDŽET 2021'!$N$872</f>
        <v>572770</v>
      </c>
      <c r="V6" s="347">
        <f>'[13]BUDŽET 2021'!$N$874</f>
        <v>368971.98</v>
      </c>
      <c r="W6" s="347">
        <f>V6+U6-T6</f>
        <v>0</v>
      </c>
      <c r="X6" s="340"/>
    </row>
    <row r="7" spans="1:27" s="341" customFormat="1" ht="50.1" customHeight="1">
      <c r="A7" s="3064">
        <v>1</v>
      </c>
      <c r="B7" s="3065"/>
      <c r="C7" s="3066"/>
      <c r="D7" s="3067" t="s">
        <v>1513</v>
      </c>
      <c r="E7" s="3068"/>
      <c r="F7" s="3069"/>
      <c r="G7" s="3070">
        <v>975</v>
      </c>
      <c r="H7" s="3071">
        <f t="shared" ref="H7:H30" si="1">SUM(F7:G7)</f>
        <v>975</v>
      </c>
      <c r="I7" s="1438"/>
      <c r="J7" s="3072"/>
      <c r="K7" s="3073">
        <f t="shared" ref="K7:K30" si="2">SUM(I7:J7)</f>
        <v>0</v>
      </c>
      <c r="L7" s="345"/>
      <c r="M7" s="346">
        <v>572770</v>
      </c>
      <c r="N7" s="346"/>
      <c r="O7" s="346"/>
      <c r="P7" s="346"/>
      <c r="Q7" s="346"/>
      <c r="R7" s="346"/>
      <c r="S7" s="346"/>
      <c r="T7" s="347"/>
      <c r="U7" s="347"/>
      <c r="V7" s="347"/>
      <c r="W7" s="347"/>
      <c r="X7" s="340"/>
    </row>
    <row r="8" spans="1:27" ht="50.1" customHeight="1">
      <c r="A8" s="3064">
        <v>2</v>
      </c>
      <c r="B8" s="3074">
        <v>821221</v>
      </c>
      <c r="C8" s="3075"/>
      <c r="D8" s="3076" t="s">
        <v>956</v>
      </c>
      <c r="E8" s="3077" t="s">
        <v>955</v>
      </c>
      <c r="F8" s="3078">
        <v>32633.27</v>
      </c>
      <c r="G8" s="3079">
        <v>20000</v>
      </c>
      <c r="H8" s="1476">
        <f t="shared" si="1"/>
        <v>52633.270000000004</v>
      </c>
      <c r="I8" s="3080"/>
      <c r="J8" s="1302"/>
      <c r="K8" s="3081">
        <f t="shared" si="2"/>
        <v>0</v>
      </c>
      <c r="L8" s="345">
        <f t="shared" ref="L8:L74" si="3">F8+G8-H8</f>
        <v>0</v>
      </c>
      <c r="M8" s="331">
        <f>G6-M7</f>
        <v>0</v>
      </c>
      <c r="N8" s="331"/>
      <c r="O8" s="331" t="e">
        <f>O5-O6</f>
        <v>#REF!</v>
      </c>
      <c r="P8" s="331"/>
      <c r="Q8" s="331"/>
      <c r="R8" s="331"/>
      <c r="S8" s="331"/>
      <c r="T8" s="275"/>
      <c r="U8" s="275"/>
      <c r="V8" s="275"/>
      <c r="Y8"/>
      <c r="Z8"/>
      <c r="AA8"/>
    </row>
    <row r="9" spans="1:27" ht="50.1" customHeight="1">
      <c r="A9" s="3064">
        <v>3</v>
      </c>
      <c r="B9" s="3074"/>
      <c r="C9" s="3075"/>
      <c r="D9" s="3076" t="s">
        <v>957</v>
      </c>
      <c r="E9" s="3077" t="s">
        <v>955</v>
      </c>
      <c r="F9" s="3078"/>
      <c r="G9" s="3079">
        <v>30000</v>
      </c>
      <c r="H9" s="1476">
        <f t="shared" si="1"/>
        <v>30000</v>
      </c>
      <c r="I9" s="3080"/>
      <c r="J9" s="1302"/>
      <c r="K9" s="3081">
        <f t="shared" si="2"/>
        <v>0</v>
      </c>
      <c r="L9" s="345">
        <f t="shared" si="3"/>
        <v>0</v>
      </c>
      <c r="M9" s="331"/>
      <c r="N9" s="331"/>
      <c r="O9" s="331">
        <f>'GP KAPITA GRA'!E5</f>
        <v>265000</v>
      </c>
      <c r="P9" s="331"/>
      <c r="Q9" s="331"/>
      <c r="R9" s="331"/>
      <c r="S9" s="331"/>
      <c r="T9" s="275"/>
      <c r="U9" s="275"/>
      <c r="V9" s="275"/>
      <c r="Y9"/>
      <c r="Z9"/>
      <c r="AA9"/>
    </row>
    <row r="10" spans="1:27" ht="50.1" customHeight="1">
      <c r="A10" s="3064">
        <v>4</v>
      </c>
      <c r="B10" s="3082"/>
      <c r="C10" s="3075"/>
      <c r="D10" s="3076" t="s">
        <v>958</v>
      </c>
      <c r="E10" s="3077" t="s">
        <v>955</v>
      </c>
      <c r="F10" s="3078"/>
      <c r="G10" s="3079">
        <v>15000</v>
      </c>
      <c r="H10" s="1476">
        <f t="shared" si="1"/>
        <v>15000</v>
      </c>
      <c r="I10" s="3080"/>
      <c r="J10" s="1302"/>
      <c r="K10" s="3081">
        <f t="shared" si="2"/>
        <v>0</v>
      </c>
      <c r="L10" s="345">
        <f t="shared" si="3"/>
        <v>0</v>
      </c>
      <c r="M10" s="331">
        <f>250000-J6</f>
        <v>0</v>
      </c>
      <c r="N10" s="331"/>
      <c r="O10" s="331"/>
      <c r="P10" s="331"/>
      <c r="Q10" s="331"/>
      <c r="R10" s="331"/>
      <c r="S10" s="331"/>
      <c r="T10" s="275"/>
      <c r="U10" s="275"/>
      <c r="V10" s="275"/>
      <c r="Y10"/>
      <c r="Z10"/>
      <c r="AA10"/>
    </row>
    <row r="11" spans="1:27" ht="50.1" customHeight="1">
      <c r="A11" s="3064">
        <v>5</v>
      </c>
      <c r="B11" s="3074">
        <v>821221</v>
      </c>
      <c r="C11" s="3075"/>
      <c r="D11" s="3076" t="s">
        <v>959</v>
      </c>
      <c r="E11" s="3077" t="s">
        <v>955</v>
      </c>
      <c r="F11" s="3078"/>
      <c r="G11" s="3079">
        <v>60000</v>
      </c>
      <c r="H11" s="1476">
        <f t="shared" si="1"/>
        <v>60000</v>
      </c>
      <c r="I11" s="3080"/>
      <c r="J11" s="1302"/>
      <c r="K11" s="3081">
        <f t="shared" si="2"/>
        <v>0</v>
      </c>
      <c r="L11" s="345">
        <f t="shared" si="3"/>
        <v>0</v>
      </c>
      <c r="M11" s="331"/>
      <c r="N11" s="331"/>
      <c r="O11" s="331"/>
      <c r="P11" s="331"/>
      <c r="Q11" s="331"/>
      <c r="R11" s="331"/>
      <c r="S11" s="331"/>
      <c r="T11" s="275"/>
      <c r="U11" s="275"/>
      <c r="V11" s="275"/>
      <c r="Y11"/>
      <c r="Z11"/>
      <c r="AA11"/>
    </row>
    <row r="12" spans="1:27" ht="50.1" customHeight="1">
      <c r="A12" s="3064">
        <v>6</v>
      </c>
      <c r="B12" s="3074">
        <v>821611</v>
      </c>
      <c r="C12" s="3075"/>
      <c r="D12" s="3076" t="s">
        <v>960</v>
      </c>
      <c r="E12" s="3077" t="s">
        <v>955</v>
      </c>
      <c r="F12" s="3078">
        <v>11717.54</v>
      </c>
      <c r="G12" s="3083">
        <v>50000</v>
      </c>
      <c r="H12" s="1476">
        <f t="shared" si="1"/>
        <v>61717.54</v>
      </c>
      <c r="I12" s="3080"/>
      <c r="J12" s="1332"/>
      <c r="K12" s="3081">
        <f t="shared" si="2"/>
        <v>0</v>
      </c>
      <c r="L12" s="345">
        <f t="shared" si="3"/>
        <v>0</v>
      </c>
      <c r="M12" s="331"/>
      <c r="N12" s="331"/>
      <c r="O12" s="331"/>
      <c r="P12" s="331"/>
      <c r="Q12" s="331"/>
      <c r="R12" s="331"/>
      <c r="S12" s="331"/>
      <c r="T12" s="275"/>
      <c r="U12" s="275"/>
      <c r="V12" s="275"/>
      <c r="Y12"/>
      <c r="Z12"/>
      <c r="AA12"/>
    </row>
    <row r="13" spans="1:27" ht="50.1" customHeight="1">
      <c r="A13" s="3064">
        <v>7</v>
      </c>
      <c r="B13" s="3074">
        <v>821221</v>
      </c>
      <c r="C13" s="3075"/>
      <c r="D13" s="3084" t="s">
        <v>961</v>
      </c>
      <c r="E13" s="3077" t="s">
        <v>955</v>
      </c>
      <c r="F13" s="3078">
        <v>10000</v>
      </c>
      <c r="G13" s="3083"/>
      <c r="H13" s="1476">
        <f t="shared" si="1"/>
        <v>10000</v>
      </c>
      <c r="I13" s="3080"/>
      <c r="J13" s="1332"/>
      <c r="K13" s="3081">
        <f t="shared" si="2"/>
        <v>0</v>
      </c>
      <c r="L13" s="345">
        <f t="shared" si="3"/>
        <v>0</v>
      </c>
      <c r="M13" s="331"/>
      <c r="N13" s="331"/>
      <c r="O13" s="331"/>
      <c r="P13" s="331"/>
      <c r="Q13" s="331"/>
      <c r="R13" s="331"/>
      <c r="S13" s="331"/>
      <c r="T13" s="275"/>
      <c r="U13" s="275"/>
      <c r="V13" s="275"/>
      <c r="Y13"/>
      <c r="Z13"/>
      <c r="AA13"/>
    </row>
    <row r="14" spans="1:27" ht="50.1" customHeight="1">
      <c r="A14" s="3064">
        <v>8</v>
      </c>
      <c r="B14" s="3074">
        <v>821211</v>
      </c>
      <c r="C14" s="3075"/>
      <c r="D14" s="3084" t="s">
        <v>962</v>
      </c>
      <c r="E14" s="3077" t="s">
        <v>955</v>
      </c>
      <c r="F14" s="3078">
        <v>40000</v>
      </c>
      <c r="G14" s="3083"/>
      <c r="H14" s="1476">
        <f t="shared" si="1"/>
        <v>40000</v>
      </c>
      <c r="I14" s="3080"/>
      <c r="J14" s="1332"/>
      <c r="K14" s="3081">
        <f t="shared" si="2"/>
        <v>0</v>
      </c>
      <c r="L14" s="345">
        <f t="shared" si="3"/>
        <v>0</v>
      </c>
      <c r="M14" s="331"/>
      <c r="N14" s="331"/>
      <c r="O14" s="331"/>
      <c r="P14" s="331"/>
      <c r="Q14" s="331"/>
      <c r="R14" s="331"/>
      <c r="S14" s="331"/>
      <c r="T14" s="275"/>
      <c r="U14" s="275"/>
      <c r="V14" s="275"/>
      <c r="Y14"/>
      <c r="Z14"/>
      <c r="AA14"/>
    </row>
    <row r="15" spans="1:27" ht="50.1" customHeight="1">
      <c r="A15" s="3064">
        <v>9</v>
      </c>
      <c r="B15" s="3074">
        <v>821221</v>
      </c>
      <c r="C15" s="3075"/>
      <c r="D15" s="3084" t="s">
        <v>963</v>
      </c>
      <c r="E15" s="3077" t="s">
        <v>955</v>
      </c>
      <c r="F15" s="3078">
        <v>3000</v>
      </c>
      <c r="G15" s="3083"/>
      <c r="H15" s="1476">
        <f t="shared" si="1"/>
        <v>3000</v>
      </c>
      <c r="I15" s="3080"/>
      <c r="J15" s="1332"/>
      <c r="K15" s="3081">
        <f t="shared" si="2"/>
        <v>0</v>
      </c>
      <c r="L15" s="345">
        <f t="shared" si="3"/>
        <v>0</v>
      </c>
      <c r="M15" s="331"/>
      <c r="N15" s="331"/>
      <c r="O15" s="331"/>
      <c r="P15" s="331"/>
      <c r="Q15" s="331"/>
      <c r="R15" s="331"/>
      <c r="S15" s="331"/>
      <c r="T15" s="275"/>
      <c r="U15" s="275"/>
      <c r="V15" s="275"/>
      <c r="Y15"/>
      <c r="Z15"/>
      <c r="AA15"/>
    </row>
    <row r="16" spans="1:27" ht="50.1" customHeight="1">
      <c r="A16" s="3064">
        <v>10</v>
      </c>
      <c r="B16" s="3074">
        <v>822124</v>
      </c>
      <c r="C16" s="3075"/>
      <c r="D16" s="3084" t="s">
        <v>964</v>
      </c>
      <c r="E16" s="3077" t="s">
        <v>955</v>
      </c>
      <c r="F16" s="3078">
        <v>40000</v>
      </c>
      <c r="G16" s="3083"/>
      <c r="H16" s="1476">
        <f t="shared" si="1"/>
        <v>40000</v>
      </c>
      <c r="I16" s="3080"/>
      <c r="J16" s="1332"/>
      <c r="K16" s="3081">
        <f t="shared" si="2"/>
        <v>0</v>
      </c>
      <c r="L16" s="345">
        <f t="shared" si="3"/>
        <v>0</v>
      </c>
      <c r="M16" s="331"/>
      <c r="N16" s="331"/>
      <c r="O16" s="331"/>
      <c r="P16" s="331"/>
      <c r="Q16" s="331"/>
      <c r="R16" s="331"/>
      <c r="S16" s="331"/>
      <c r="T16" s="275"/>
      <c r="U16" s="275"/>
      <c r="V16" s="275"/>
      <c r="Y16"/>
      <c r="Z16"/>
      <c r="AA16"/>
    </row>
    <row r="17" spans="1:27" ht="50.1" customHeight="1">
      <c r="A17" s="3064">
        <v>11</v>
      </c>
      <c r="B17" s="3074">
        <v>821211</v>
      </c>
      <c r="C17" s="3075"/>
      <c r="D17" s="3084" t="s">
        <v>965</v>
      </c>
      <c r="E17" s="3077" t="s">
        <v>955</v>
      </c>
      <c r="F17" s="3078">
        <v>95899.51</v>
      </c>
      <c r="G17" s="3083"/>
      <c r="H17" s="1476">
        <f t="shared" si="1"/>
        <v>95899.51</v>
      </c>
      <c r="I17" s="3080"/>
      <c r="J17" s="1332"/>
      <c r="K17" s="3081">
        <f t="shared" si="2"/>
        <v>0</v>
      </c>
      <c r="L17" s="345">
        <f t="shared" si="3"/>
        <v>0</v>
      </c>
      <c r="M17" s="331"/>
      <c r="N17" s="331"/>
      <c r="O17" s="331"/>
      <c r="P17" s="331"/>
      <c r="Q17" s="331"/>
      <c r="R17" s="331"/>
      <c r="S17" s="331"/>
      <c r="T17" s="275"/>
      <c r="U17" s="275"/>
      <c r="V17" s="275"/>
      <c r="Y17"/>
      <c r="Z17"/>
      <c r="AA17"/>
    </row>
    <row r="18" spans="1:27" ht="50.1" customHeight="1">
      <c r="A18" s="3064">
        <v>12</v>
      </c>
      <c r="B18" s="3074">
        <v>821513</v>
      </c>
      <c r="C18" s="3075"/>
      <c r="D18" s="3084" t="s">
        <v>966</v>
      </c>
      <c r="E18" s="3085" t="s">
        <v>955</v>
      </c>
      <c r="F18" s="3078">
        <v>6000</v>
      </c>
      <c r="G18" s="3083">
        <v>1000</v>
      </c>
      <c r="H18" s="1476">
        <f t="shared" si="1"/>
        <v>7000</v>
      </c>
      <c r="I18" s="3080"/>
      <c r="J18" s="1332"/>
      <c r="K18" s="3081">
        <f t="shared" si="2"/>
        <v>0</v>
      </c>
      <c r="L18" s="345">
        <f t="shared" si="3"/>
        <v>0</v>
      </c>
      <c r="M18" s="331"/>
      <c r="N18" s="331"/>
      <c r="O18" s="331"/>
      <c r="P18" s="331"/>
      <c r="Q18" s="331"/>
      <c r="R18" s="331"/>
      <c r="S18" s="331"/>
      <c r="T18" s="275"/>
      <c r="U18" s="275"/>
      <c r="V18" s="275"/>
      <c r="Y18"/>
      <c r="Z18"/>
      <c r="AA18"/>
    </row>
    <row r="19" spans="1:27" ht="50.1" customHeight="1">
      <c r="A19" s="3064">
        <v>13</v>
      </c>
      <c r="B19" s="3074">
        <v>821529</v>
      </c>
      <c r="C19" s="3086"/>
      <c r="D19" s="3076" t="s">
        <v>967</v>
      </c>
      <c r="E19" s="3085" t="s">
        <v>955</v>
      </c>
      <c r="F19" s="3078">
        <v>10000</v>
      </c>
      <c r="G19" s="3083">
        <v>5000</v>
      </c>
      <c r="H19" s="1476">
        <f t="shared" si="1"/>
        <v>15000</v>
      </c>
      <c r="I19" s="3080"/>
      <c r="J19" s="1332"/>
      <c r="K19" s="3081">
        <f t="shared" si="2"/>
        <v>0</v>
      </c>
      <c r="L19" s="345">
        <f t="shared" si="3"/>
        <v>0</v>
      </c>
      <c r="M19" s="331"/>
      <c r="N19" s="331"/>
      <c r="O19" s="331"/>
      <c r="P19" s="331"/>
      <c r="Q19" s="331"/>
      <c r="R19" s="331"/>
      <c r="S19" s="331"/>
      <c r="T19" s="275"/>
      <c r="U19" s="275"/>
      <c r="V19" s="275"/>
      <c r="Y19"/>
      <c r="Z19"/>
      <c r="AA19"/>
    </row>
    <row r="20" spans="1:27" s="335" customFormat="1" ht="50.1" customHeight="1">
      <c r="A20" s="3064">
        <v>14</v>
      </c>
      <c r="B20" s="3087">
        <v>821221</v>
      </c>
      <c r="C20" s="3075"/>
      <c r="D20" s="3088" t="s">
        <v>968</v>
      </c>
      <c r="E20" s="3085" t="s">
        <v>955</v>
      </c>
      <c r="F20" s="3078"/>
      <c r="G20" s="3083">
        <v>14904</v>
      </c>
      <c r="H20" s="1476">
        <f t="shared" si="1"/>
        <v>14904</v>
      </c>
      <c r="I20" s="3080"/>
      <c r="J20" s="1332">
        <v>12304</v>
      </c>
      <c r="K20" s="3081">
        <f t="shared" si="2"/>
        <v>12304</v>
      </c>
      <c r="L20" s="345">
        <f t="shared" si="3"/>
        <v>0</v>
      </c>
      <c r="M20" s="331"/>
      <c r="N20" s="331"/>
      <c r="O20" s="331"/>
      <c r="P20" s="331"/>
      <c r="Q20" s="331"/>
      <c r="R20" s="331"/>
      <c r="S20" s="331"/>
      <c r="T20" s="334"/>
      <c r="U20" s="334"/>
      <c r="V20" s="334"/>
      <c r="W20" s="334"/>
      <c r="X20" s="334"/>
    </row>
    <row r="21" spans="1:27" s="335" customFormat="1" ht="50.1" customHeight="1">
      <c r="A21" s="3064">
        <v>15</v>
      </c>
      <c r="B21" s="3074">
        <v>821513</v>
      </c>
      <c r="C21" s="3075"/>
      <c r="D21" s="3076" t="s">
        <v>969</v>
      </c>
      <c r="E21" s="3085" t="s">
        <v>955</v>
      </c>
      <c r="F21" s="3078"/>
      <c r="G21" s="3083">
        <v>10000</v>
      </c>
      <c r="H21" s="1476">
        <f t="shared" si="1"/>
        <v>10000</v>
      </c>
      <c r="I21" s="3080"/>
      <c r="J21" s="1332"/>
      <c r="K21" s="3081">
        <f t="shared" si="2"/>
        <v>0</v>
      </c>
      <c r="L21" s="345">
        <f t="shared" si="3"/>
        <v>0</v>
      </c>
      <c r="M21" s="331"/>
      <c r="N21" s="331"/>
      <c r="O21" s="331"/>
      <c r="P21" s="331"/>
      <c r="Q21" s="331"/>
      <c r="R21" s="331"/>
      <c r="S21" s="331"/>
      <c r="T21" s="334"/>
      <c r="U21" s="334"/>
      <c r="V21" s="334"/>
      <c r="W21" s="334"/>
      <c r="X21" s="334"/>
    </row>
    <row r="22" spans="1:27" s="335" customFormat="1" ht="50.1" customHeight="1">
      <c r="A22" s="3064">
        <v>16</v>
      </c>
      <c r="B22" s="3074">
        <v>821211</v>
      </c>
      <c r="C22" s="3075"/>
      <c r="D22" s="3084" t="s">
        <v>970</v>
      </c>
      <c r="E22" s="3085" t="s">
        <v>955</v>
      </c>
      <c r="F22" s="3078">
        <v>98916.15</v>
      </c>
      <c r="G22" s="3083">
        <v>107696</v>
      </c>
      <c r="H22" s="1476">
        <f t="shared" si="1"/>
        <v>206612.15</v>
      </c>
      <c r="I22" s="3080"/>
      <c r="J22" s="1332">
        <v>107696</v>
      </c>
      <c r="K22" s="3081">
        <f t="shared" si="2"/>
        <v>107696</v>
      </c>
      <c r="L22" s="345">
        <f t="shared" si="3"/>
        <v>0</v>
      </c>
      <c r="M22" s="331"/>
      <c r="N22" s="331"/>
      <c r="O22" s="331"/>
      <c r="P22" s="331"/>
      <c r="Q22" s="331"/>
      <c r="R22" s="331"/>
      <c r="S22" s="331"/>
      <c r="T22" s="334"/>
      <c r="U22" s="334"/>
      <c r="V22" s="334"/>
      <c r="W22" s="334"/>
      <c r="X22" s="334"/>
    </row>
    <row r="23" spans="1:27" s="335" customFormat="1" ht="50.1" customHeight="1">
      <c r="A23" s="3064">
        <v>17</v>
      </c>
      <c r="B23" s="3074">
        <v>821224</v>
      </c>
      <c r="C23" s="3075"/>
      <c r="D23" s="3088" t="s">
        <v>971</v>
      </c>
      <c r="E23" s="3085" t="s">
        <v>955</v>
      </c>
      <c r="F23" s="3078">
        <v>19110</v>
      </c>
      <c r="G23" s="3083"/>
      <c r="H23" s="1476">
        <f t="shared" si="1"/>
        <v>19110</v>
      </c>
      <c r="I23" s="3080"/>
      <c r="J23" s="1332"/>
      <c r="K23" s="3081">
        <f t="shared" si="2"/>
        <v>0</v>
      </c>
      <c r="L23" s="345">
        <f t="shared" si="3"/>
        <v>0</v>
      </c>
      <c r="M23" s="331"/>
      <c r="N23" s="331"/>
      <c r="O23" s="331"/>
      <c r="P23" s="331"/>
      <c r="Q23" s="331"/>
      <c r="R23" s="331"/>
      <c r="S23" s="331"/>
      <c r="T23" s="334"/>
      <c r="U23" s="334"/>
      <c r="V23" s="334"/>
      <c r="W23" s="334"/>
      <c r="X23" s="334"/>
    </row>
    <row r="24" spans="1:27" s="335" customFormat="1" ht="50.1" customHeight="1">
      <c r="A24" s="3064">
        <v>18</v>
      </c>
      <c r="B24" s="3074"/>
      <c r="C24" s="3075"/>
      <c r="D24" s="3088" t="s">
        <v>1159</v>
      </c>
      <c r="E24" s="3085" t="s">
        <v>955</v>
      </c>
      <c r="F24" s="3078"/>
      <c r="G24" s="3089">
        <v>80000</v>
      </c>
      <c r="H24" s="1476">
        <f t="shared" si="1"/>
        <v>80000</v>
      </c>
      <c r="I24" s="3080"/>
      <c r="J24" s="3090">
        <v>75000</v>
      </c>
      <c r="K24" s="3081">
        <f t="shared" si="2"/>
        <v>75000</v>
      </c>
      <c r="L24" s="345">
        <f t="shared" si="3"/>
        <v>0</v>
      </c>
      <c r="M24" s="331"/>
      <c r="N24" s="331"/>
      <c r="O24" s="331"/>
      <c r="P24" s="331"/>
      <c r="Q24" s="331"/>
      <c r="R24" s="331"/>
      <c r="S24" s="331"/>
      <c r="T24" s="334"/>
      <c r="U24" s="334"/>
      <c r="V24" s="334"/>
      <c r="W24" s="334"/>
      <c r="X24" s="334"/>
    </row>
    <row r="25" spans="1:27" ht="50.1" customHeight="1">
      <c r="A25" s="3064">
        <v>19</v>
      </c>
      <c r="B25" s="3074">
        <v>821211</v>
      </c>
      <c r="C25" s="3075"/>
      <c r="D25" s="3088" t="s">
        <v>972</v>
      </c>
      <c r="E25" s="3091" t="s">
        <v>955</v>
      </c>
      <c r="F25" s="3078">
        <v>1696</v>
      </c>
      <c r="G25" s="3083">
        <v>2304</v>
      </c>
      <c r="H25" s="1476">
        <f t="shared" si="1"/>
        <v>4000</v>
      </c>
      <c r="I25" s="3080"/>
      <c r="J25" s="1332"/>
      <c r="K25" s="3081">
        <f t="shared" si="2"/>
        <v>0</v>
      </c>
      <c r="L25" s="345">
        <f t="shared" si="3"/>
        <v>0</v>
      </c>
      <c r="M25" s="331"/>
      <c r="N25" s="331"/>
      <c r="O25" s="331"/>
      <c r="P25" s="331"/>
      <c r="Q25" s="331"/>
      <c r="R25" s="331"/>
      <c r="S25" s="331"/>
      <c r="T25" s="275"/>
      <c r="U25" s="275"/>
      <c r="V25" s="275"/>
      <c r="Y25"/>
      <c r="Z25"/>
      <c r="AA25"/>
    </row>
    <row r="26" spans="1:27" ht="50.1" customHeight="1">
      <c r="A26" s="3064">
        <v>20</v>
      </c>
      <c r="B26" s="3074">
        <v>821612</v>
      </c>
      <c r="C26" s="3075"/>
      <c r="D26" s="3092" t="s">
        <v>906</v>
      </c>
      <c r="E26" s="3091" t="s">
        <v>955</v>
      </c>
      <c r="F26" s="3078"/>
      <c r="G26" s="3089">
        <v>27191</v>
      </c>
      <c r="H26" s="1476">
        <f t="shared" si="1"/>
        <v>27191</v>
      </c>
      <c r="I26" s="3080"/>
      <c r="J26" s="3090"/>
      <c r="K26" s="3081">
        <f t="shared" si="2"/>
        <v>0</v>
      </c>
      <c r="L26" s="345">
        <f t="shared" si="3"/>
        <v>0</v>
      </c>
      <c r="M26" s="331"/>
      <c r="N26" s="331"/>
      <c r="O26" s="331"/>
      <c r="P26" s="331"/>
      <c r="Q26" s="331"/>
      <c r="R26" s="331"/>
      <c r="S26" s="331"/>
      <c r="T26" s="275"/>
      <c r="U26" s="275"/>
      <c r="V26" s="275"/>
      <c r="Y26"/>
      <c r="Z26"/>
      <c r="AA26"/>
    </row>
    <row r="27" spans="1:27" ht="50.1" customHeight="1">
      <c r="A27" s="3064">
        <v>21</v>
      </c>
      <c r="B27" s="3087"/>
      <c r="C27" s="3075"/>
      <c r="D27" s="3093" t="s">
        <v>1160</v>
      </c>
      <c r="E27" s="3094" t="s">
        <v>955</v>
      </c>
      <c r="F27" s="3078"/>
      <c r="G27" s="3095">
        <v>60000</v>
      </c>
      <c r="H27" s="1476">
        <f t="shared" si="1"/>
        <v>60000</v>
      </c>
      <c r="I27" s="3080"/>
      <c r="J27" s="1332">
        <v>55000</v>
      </c>
      <c r="K27" s="3081">
        <f t="shared" si="2"/>
        <v>55000</v>
      </c>
      <c r="L27" s="345">
        <f t="shared" si="3"/>
        <v>0</v>
      </c>
      <c r="M27" s="331"/>
      <c r="N27" s="331"/>
      <c r="O27" s="331"/>
      <c r="P27" s="331"/>
      <c r="Q27" s="331"/>
      <c r="R27" s="331"/>
      <c r="S27" s="331"/>
      <c r="T27" s="275"/>
      <c r="U27" s="275"/>
      <c r="V27" s="275"/>
      <c r="Y27"/>
      <c r="Z27"/>
      <c r="AA27"/>
    </row>
    <row r="28" spans="1:27" ht="50.1" customHeight="1">
      <c r="A28" s="3064">
        <v>22</v>
      </c>
      <c r="B28" s="3087"/>
      <c r="C28" s="3075"/>
      <c r="D28" s="3093" t="s">
        <v>1161</v>
      </c>
      <c r="E28" s="3094" t="s">
        <v>955</v>
      </c>
      <c r="F28" s="3078"/>
      <c r="G28" s="3095">
        <v>46700</v>
      </c>
      <c r="H28" s="1476">
        <f t="shared" si="1"/>
        <v>46700</v>
      </c>
      <c r="I28" s="3080"/>
      <c r="J28" s="1332"/>
      <c r="K28" s="3081">
        <f t="shared" si="2"/>
        <v>0</v>
      </c>
      <c r="L28" s="345">
        <f t="shared" si="3"/>
        <v>0</v>
      </c>
      <c r="M28" s="331"/>
      <c r="N28" s="331"/>
      <c r="O28" s="331"/>
      <c r="P28" s="331"/>
      <c r="Q28" s="331"/>
      <c r="R28" s="331"/>
      <c r="S28" s="331"/>
      <c r="T28" s="275"/>
      <c r="U28" s="275"/>
      <c r="V28" s="275"/>
      <c r="Y28"/>
      <c r="Z28"/>
      <c r="AA28"/>
    </row>
    <row r="29" spans="1:27" ht="50.1" customHeight="1">
      <c r="A29" s="3064">
        <v>23</v>
      </c>
      <c r="B29" s="3087"/>
      <c r="C29" s="3075"/>
      <c r="D29" s="3093" t="s">
        <v>1162</v>
      </c>
      <c r="E29" s="3094" t="s">
        <v>955</v>
      </c>
      <c r="F29" s="3096"/>
      <c r="G29" s="3097">
        <v>35000</v>
      </c>
      <c r="H29" s="1476">
        <f t="shared" si="1"/>
        <v>35000</v>
      </c>
      <c r="I29" s="3098"/>
      <c r="J29" s="3099"/>
      <c r="K29" s="3081">
        <f t="shared" si="2"/>
        <v>0</v>
      </c>
      <c r="L29" s="345">
        <f t="shared" si="3"/>
        <v>0</v>
      </c>
      <c r="M29" s="331"/>
      <c r="N29" s="331"/>
      <c r="O29" s="331"/>
      <c r="P29" s="331"/>
      <c r="Q29" s="331"/>
      <c r="R29" s="331"/>
      <c r="S29" s="331"/>
      <c r="T29" s="275"/>
      <c r="U29" s="275"/>
      <c r="V29" s="275"/>
      <c r="Y29"/>
      <c r="Z29"/>
      <c r="AA29"/>
    </row>
    <row r="30" spans="1:27" ht="50.1" customHeight="1" thickBot="1">
      <c r="A30" s="3100">
        <v>24</v>
      </c>
      <c r="B30" s="3087"/>
      <c r="C30" s="3101"/>
      <c r="D30" s="3093" t="s">
        <v>1163</v>
      </c>
      <c r="E30" s="3102" t="s">
        <v>955</v>
      </c>
      <c r="F30" s="3103"/>
      <c r="G30" s="3097">
        <v>7000</v>
      </c>
      <c r="H30" s="1476">
        <f t="shared" si="1"/>
        <v>7000</v>
      </c>
      <c r="I30" s="3104"/>
      <c r="J30" s="3105"/>
      <c r="K30" s="3081">
        <f t="shared" si="2"/>
        <v>0</v>
      </c>
      <c r="L30" s="345">
        <f t="shared" si="3"/>
        <v>0</v>
      </c>
      <c r="M30" s="331"/>
      <c r="N30" s="331"/>
      <c r="O30" s="331"/>
      <c r="P30" s="331"/>
      <c r="Q30" s="331"/>
      <c r="R30" s="331"/>
      <c r="S30" s="331"/>
      <c r="T30" s="275"/>
      <c r="U30" s="275"/>
      <c r="V30" s="275"/>
      <c r="Y30"/>
      <c r="Z30"/>
      <c r="AA30"/>
    </row>
    <row r="31" spans="1:27" ht="50.1" customHeight="1" thickTop="1" thickBot="1">
      <c r="A31" s="3106"/>
      <c r="B31" s="3107"/>
      <c r="C31" s="3108"/>
      <c r="D31" s="3109"/>
      <c r="E31" s="3110"/>
      <c r="F31" s="3111"/>
      <c r="G31" s="3111"/>
      <c r="H31" s="3111"/>
      <c r="I31" s="3112"/>
      <c r="J31" s="3112"/>
      <c r="K31" s="3111"/>
      <c r="L31" s="345">
        <f t="shared" si="3"/>
        <v>0</v>
      </c>
      <c r="M31" s="326"/>
      <c r="N31" s="326"/>
      <c r="O31" s="326"/>
      <c r="P31" s="326"/>
      <c r="Q31" s="326"/>
      <c r="R31" s="326"/>
      <c r="S31" s="326"/>
      <c r="T31" s="275"/>
      <c r="U31" s="275"/>
      <c r="V31" s="275"/>
      <c r="Y31"/>
      <c r="Z31"/>
      <c r="AA31"/>
    </row>
    <row r="32" spans="1:27" s="289" customFormat="1" ht="50.1" customHeight="1" thickTop="1">
      <c r="A32" s="3113" t="s">
        <v>0</v>
      </c>
      <c r="B32" s="3114"/>
      <c r="C32" s="3115"/>
      <c r="D32" s="3058" t="s">
        <v>973</v>
      </c>
      <c r="E32" s="3116" t="s">
        <v>974</v>
      </c>
      <c r="F32" s="3033">
        <f>SUM(F34:F50)</f>
        <v>479220</v>
      </c>
      <c r="G32" s="3034">
        <f>SUM(G34:G49)</f>
        <v>1215065</v>
      </c>
      <c r="H32" s="3062">
        <f>SUM(H34:H50)</f>
        <v>1694285</v>
      </c>
      <c r="I32" s="3033">
        <f>SUM(I34:I50)</f>
        <v>0</v>
      </c>
      <c r="J32" s="3034">
        <f>SUM(J33:J50)</f>
        <v>820000</v>
      </c>
      <c r="K32" s="3063">
        <f>SUM(K34:K50,K33)</f>
        <v>820000</v>
      </c>
      <c r="L32" s="345">
        <f>'Rashodi i izdaci-poseban dio'!W347</f>
        <v>200000</v>
      </c>
      <c r="M32" s="329">
        <f>'[2]PRIH REBALANS'!$AK$866</f>
        <v>1694285</v>
      </c>
      <c r="N32" s="329"/>
      <c r="O32" s="329"/>
      <c r="P32" s="329"/>
      <c r="Q32" s="329"/>
      <c r="R32" s="329"/>
      <c r="S32" s="329"/>
      <c r="T32" s="342">
        <f>'[13]BUDŽET 2021'!$N$875</f>
        <v>1694285.42</v>
      </c>
      <c r="U32" s="342">
        <f>'[14]BUDŽET 2021'!$N$874</f>
        <v>479220.42</v>
      </c>
      <c r="V32" s="343">
        <f>'[13]BUDŽET 2021'!$N$876</f>
        <v>1215065</v>
      </c>
      <c r="W32" s="342">
        <f>V32+U32-T32</f>
        <v>0</v>
      </c>
      <c r="X32" s="344"/>
    </row>
    <row r="33" spans="1:27" s="289" customFormat="1" ht="50.1" customHeight="1">
      <c r="A33" s="3117">
        <v>1</v>
      </c>
      <c r="B33" s="3118"/>
      <c r="C33" s="3119"/>
      <c r="D33" s="3067" t="s">
        <v>1710</v>
      </c>
      <c r="E33" s="3120" t="s">
        <v>974</v>
      </c>
      <c r="F33" s="1632"/>
      <c r="G33" s="1320"/>
      <c r="H33" s="3121"/>
      <c r="I33" s="3122"/>
      <c r="J33" s="3123">
        <v>80000</v>
      </c>
      <c r="K33" s="3081">
        <f>I33+J33</f>
        <v>80000</v>
      </c>
      <c r="L33" s="345"/>
      <c r="M33" s="329"/>
      <c r="N33" s="329"/>
      <c r="O33" s="329"/>
      <c r="P33" s="329"/>
      <c r="Q33" s="329"/>
      <c r="R33" s="329"/>
      <c r="S33" s="329"/>
      <c r="T33" s="342"/>
      <c r="U33" s="342"/>
      <c r="V33" s="343"/>
      <c r="W33" s="342"/>
      <c r="X33" s="344"/>
    </row>
    <row r="34" spans="1:27" ht="50.1" customHeight="1">
      <c r="A34" s="3117">
        <v>2</v>
      </c>
      <c r="B34" s="3124">
        <v>821619</v>
      </c>
      <c r="C34" s="3086"/>
      <c r="D34" s="3084" t="s">
        <v>975</v>
      </c>
      <c r="E34" s="3120" t="s">
        <v>974</v>
      </c>
      <c r="F34" s="1627">
        <v>188000</v>
      </c>
      <c r="G34" s="1332">
        <v>60000</v>
      </c>
      <c r="H34" s="1476">
        <f>F34+G34</f>
        <v>248000</v>
      </c>
      <c r="I34" s="3080"/>
      <c r="J34" s="1332">
        <v>80000</v>
      </c>
      <c r="K34" s="3081">
        <f>I34+J34</f>
        <v>80000</v>
      </c>
      <c r="L34" s="345">
        <f t="shared" si="3"/>
        <v>0</v>
      </c>
      <c r="M34" s="331"/>
      <c r="N34" s="331"/>
      <c r="O34" s="331"/>
      <c r="P34" s="331"/>
      <c r="Q34" s="331"/>
      <c r="R34" s="331"/>
      <c r="S34" s="331"/>
      <c r="T34" s="274" t="e">
        <f>T32-#REF!</f>
        <v>#REF!</v>
      </c>
      <c r="U34" s="275"/>
      <c r="V34" s="275"/>
      <c r="Y34"/>
      <c r="Z34"/>
      <c r="AA34"/>
    </row>
    <row r="35" spans="1:27" ht="50.1" customHeight="1">
      <c r="A35" s="3117">
        <v>3</v>
      </c>
      <c r="B35" s="3125"/>
      <c r="C35" s="3126"/>
      <c r="D35" s="3084" t="s">
        <v>976</v>
      </c>
      <c r="E35" s="3120" t="s">
        <v>974</v>
      </c>
      <c r="F35" s="1627">
        <v>6823</v>
      </c>
      <c r="G35" s="1332">
        <v>155065</v>
      </c>
      <c r="H35" s="1476">
        <f t="shared" ref="H35:H49" si="4">F35+G35</f>
        <v>161888</v>
      </c>
      <c r="I35" s="3080"/>
      <c r="J35" s="1332">
        <v>80000</v>
      </c>
      <c r="K35" s="3081">
        <f t="shared" ref="K35:K49" si="5">I35+J35</f>
        <v>80000</v>
      </c>
      <c r="L35" s="345">
        <f t="shared" si="3"/>
        <v>0</v>
      </c>
      <c r="M35" s="331"/>
      <c r="N35" s="331"/>
      <c r="O35" s="331"/>
      <c r="P35" s="331"/>
      <c r="Q35" s="331"/>
      <c r="R35" s="331"/>
      <c r="S35" s="331"/>
      <c r="T35" s="275"/>
      <c r="U35" s="275"/>
      <c r="V35" s="275"/>
      <c r="Y35"/>
      <c r="Z35"/>
      <c r="AA35"/>
    </row>
    <row r="36" spans="1:27" ht="50.1" customHeight="1">
      <c r="A36" s="3117">
        <v>4</v>
      </c>
      <c r="B36" s="3125"/>
      <c r="C36" s="3127"/>
      <c r="D36" s="3084" t="s">
        <v>977</v>
      </c>
      <c r="E36" s="3120" t="s">
        <v>974</v>
      </c>
      <c r="F36" s="1627">
        <v>80000</v>
      </c>
      <c r="G36" s="1332"/>
      <c r="H36" s="1476">
        <f t="shared" si="4"/>
        <v>80000</v>
      </c>
      <c r="I36" s="3080"/>
      <c r="J36" s="1332">
        <v>80000</v>
      </c>
      <c r="K36" s="3081">
        <f t="shared" si="5"/>
        <v>80000</v>
      </c>
      <c r="L36" s="345">
        <f t="shared" si="3"/>
        <v>0</v>
      </c>
      <c r="M36" s="331"/>
      <c r="N36" s="331"/>
      <c r="O36" s="331"/>
      <c r="P36" s="331"/>
      <c r="Q36" s="331"/>
      <c r="R36" s="331"/>
      <c r="S36" s="331"/>
      <c r="T36" s="275"/>
      <c r="U36" s="275"/>
      <c r="V36" s="275"/>
      <c r="Y36"/>
      <c r="Z36"/>
      <c r="AA36"/>
    </row>
    <row r="37" spans="1:27" ht="50.1" customHeight="1">
      <c r="A37" s="3117">
        <v>5</v>
      </c>
      <c r="B37" s="3128">
        <v>821222</v>
      </c>
      <c r="C37" s="3086"/>
      <c r="D37" s="3076" t="s">
        <v>978</v>
      </c>
      <c r="E37" s="3120" t="s">
        <v>974</v>
      </c>
      <c r="F37" s="1627">
        <v>59844</v>
      </c>
      <c r="G37" s="3129"/>
      <c r="H37" s="1476">
        <f t="shared" si="4"/>
        <v>59844</v>
      </c>
      <c r="I37" s="3080"/>
      <c r="J37" s="3129"/>
      <c r="K37" s="3081">
        <f t="shared" si="5"/>
        <v>0</v>
      </c>
      <c r="L37" s="345">
        <f t="shared" si="3"/>
        <v>0</v>
      </c>
      <c r="M37" s="331"/>
      <c r="N37" s="331"/>
      <c r="O37" s="331"/>
      <c r="P37" s="331"/>
      <c r="Q37" s="331"/>
      <c r="R37" s="331"/>
      <c r="S37" s="331"/>
      <c r="T37" s="275"/>
      <c r="U37" s="275"/>
      <c r="V37" s="275"/>
      <c r="Y37"/>
      <c r="Z37"/>
      <c r="AA37"/>
    </row>
    <row r="38" spans="1:27" ht="50.1" customHeight="1">
      <c r="A38" s="3117">
        <v>6</v>
      </c>
      <c r="B38" s="3125"/>
      <c r="C38" s="3086"/>
      <c r="D38" s="3076" t="s">
        <v>979</v>
      </c>
      <c r="E38" s="3120" t="s">
        <v>974</v>
      </c>
      <c r="F38" s="1627">
        <v>15578</v>
      </c>
      <c r="G38" s="1332">
        <v>40000</v>
      </c>
      <c r="H38" s="1476">
        <f t="shared" si="4"/>
        <v>55578</v>
      </c>
      <c r="I38" s="3080"/>
      <c r="J38" s="1332">
        <v>20000</v>
      </c>
      <c r="K38" s="3081">
        <f t="shared" si="5"/>
        <v>20000</v>
      </c>
      <c r="L38" s="345">
        <f t="shared" si="3"/>
        <v>0</v>
      </c>
      <c r="M38" s="331"/>
      <c r="N38" s="331"/>
      <c r="O38" s="331"/>
      <c r="P38" s="331"/>
      <c r="Q38" s="331"/>
      <c r="R38" s="331"/>
      <c r="S38" s="331"/>
      <c r="T38" s="275"/>
      <c r="U38" s="275"/>
      <c r="V38" s="275"/>
      <c r="Y38"/>
      <c r="Z38"/>
      <c r="AA38"/>
    </row>
    <row r="39" spans="1:27" ht="50.1" customHeight="1">
      <c r="A39" s="3117">
        <v>7</v>
      </c>
      <c r="B39" s="3124">
        <v>821612</v>
      </c>
      <c r="C39" s="3127"/>
      <c r="D39" s="3076" t="s">
        <v>980</v>
      </c>
      <c r="E39" s="3120" t="s">
        <v>974</v>
      </c>
      <c r="F39" s="1627">
        <v>27709</v>
      </c>
      <c r="G39" s="1332"/>
      <c r="H39" s="1476">
        <f t="shared" si="4"/>
        <v>27709</v>
      </c>
      <c r="I39" s="3080"/>
      <c r="J39" s="1332"/>
      <c r="K39" s="3081">
        <f t="shared" si="5"/>
        <v>0</v>
      </c>
      <c r="L39" s="345">
        <f t="shared" si="3"/>
        <v>0</v>
      </c>
      <c r="M39" s="331"/>
      <c r="N39" s="331"/>
      <c r="O39" s="331"/>
      <c r="P39" s="331"/>
      <c r="Q39" s="331"/>
      <c r="R39" s="331"/>
      <c r="S39" s="331"/>
      <c r="T39" s="275"/>
      <c r="U39" s="275"/>
      <c r="V39" s="275"/>
      <c r="Y39"/>
      <c r="Z39"/>
      <c r="AA39"/>
    </row>
    <row r="40" spans="1:27" ht="50.1" customHeight="1">
      <c r="A40" s="3117">
        <v>8</v>
      </c>
      <c r="B40" s="3124">
        <v>821629</v>
      </c>
      <c r="C40" s="3127"/>
      <c r="D40" s="3076" t="s">
        <v>981</v>
      </c>
      <c r="E40" s="3120" t="s">
        <v>974</v>
      </c>
      <c r="F40" s="1627"/>
      <c r="G40" s="1332">
        <v>60000</v>
      </c>
      <c r="H40" s="1476">
        <f t="shared" si="4"/>
        <v>60000</v>
      </c>
      <c r="I40" s="3080"/>
      <c r="J40" s="1332"/>
      <c r="K40" s="3081">
        <f t="shared" si="5"/>
        <v>0</v>
      </c>
      <c r="L40" s="345">
        <f t="shared" si="3"/>
        <v>0</v>
      </c>
      <c r="M40" s="331"/>
      <c r="N40" s="331"/>
      <c r="O40" s="331"/>
      <c r="P40" s="331"/>
      <c r="Q40" s="331"/>
      <c r="R40" s="331"/>
      <c r="S40" s="331"/>
      <c r="T40" s="275"/>
      <c r="U40" s="275"/>
      <c r="V40" s="275"/>
      <c r="Y40"/>
      <c r="Z40"/>
      <c r="AA40"/>
    </row>
    <row r="41" spans="1:27" ht="50.1" customHeight="1">
      <c r="A41" s="3117">
        <v>9</v>
      </c>
      <c r="B41" s="3124">
        <v>821618</v>
      </c>
      <c r="C41" s="3127"/>
      <c r="D41" s="3076" t="s">
        <v>982</v>
      </c>
      <c r="E41" s="3120" t="s">
        <v>974</v>
      </c>
      <c r="F41" s="1627">
        <v>18227</v>
      </c>
      <c r="G41" s="1332"/>
      <c r="H41" s="1476">
        <f t="shared" si="4"/>
        <v>18227</v>
      </c>
      <c r="I41" s="3080"/>
      <c r="J41" s="1332"/>
      <c r="K41" s="3081">
        <f t="shared" si="5"/>
        <v>0</v>
      </c>
      <c r="L41" s="345">
        <f t="shared" si="3"/>
        <v>0</v>
      </c>
      <c r="M41" s="331"/>
      <c r="N41" s="331"/>
      <c r="O41" s="331"/>
      <c r="P41" s="331"/>
      <c r="Q41" s="331"/>
      <c r="R41" s="331"/>
      <c r="S41" s="331"/>
      <c r="T41" s="275"/>
      <c r="U41" s="275"/>
      <c r="V41" s="275"/>
      <c r="Y41"/>
      <c r="Z41"/>
      <c r="AA41"/>
    </row>
    <row r="42" spans="1:27" ht="50.1" customHeight="1">
      <c r="A42" s="3117">
        <v>10</v>
      </c>
      <c r="B42" s="3124">
        <v>821611</v>
      </c>
      <c r="C42" s="3127"/>
      <c r="D42" s="3084" t="s">
        <v>983</v>
      </c>
      <c r="E42" s="3120" t="s">
        <v>974</v>
      </c>
      <c r="F42" s="1627">
        <v>80000</v>
      </c>
      <c r="G42" s="1332"/>
      <c r="H42" s="1476">
        <f t="shared" si="4"/>
        <v>80000</v>
      </c>
      <c r="I42" s="3080"/>
      <c r="J42" s="1332"/>
      <c r="K42" s="3081">
        <f t="shared" si="5"/>
        <v>0</v>
      </c>
      <c r="L42" s="345">
        <f t="shared" si="3"/>
        <v>0</v>
      </c>
      <c r="M42" s="331"/>
      <c r="N42" s="331"/>
      <c r="O42" s="331"/>
      <c r="P42" s="331"/>
      <c r="Q42" s="331"/>
      <c r="R42" s="331"/>
      <c r="S42" s="331"/>
      <c r="T42" s="275"/>
      <c r="U42" s="275"/>
      <c r="V42" s="275"/>
      <c r="Y42"/>
      <c r="Z42"/>
      <c r="AA42"/>
    </row>
    <row r="43" spans="1:27" ht="50.1" customHeight="1">
      <c r="A43" s="3117">
        <v>11</v>
      </c>
      <c r="B43" s="3124"/>
      <c r="C43" s="3127"/>
      <c r="D43" s="3084" t="s">
        <v>984</v>
      </c>
      <c r="E43" s="3120" t="s">
        <v>974</v>
      </c>
      <c r="F43" s="1627"/>
      <c r="G43" s="1332">
        <v>50000</v>
      </c>
      <c r="H43" s="1476">
        <f t="shared" si="4"/>
        <v>50000</v>
      </c>
      <c r="I43" s="3080"/>
      <c r="J43" s="1332">
        <v>50000</v>
      </c>
      <c r="K43" s="3081">
        <f t="shared" si="5"/>
        <v>50000</v>
      </c>
      <c r="L43" s="345">
        <f t="shared" si="3"/>
        <v>0</v>
      </c>
      <c r="M43" s="331"/>
      <c r="N43" s="331"/>
      <c r="O43" s="331"/>
      <c r="P43" s="331"/>
      <c r="Q43" s="331"/>
      <c r="R43" s="331"/>
      <c r="S43" s="331"/>
      <c r="T43" s="275"/>
      <c r="U43" s="275"/>
      <c r="V43" s="275"/>
      <c r="Y43"/>
      <c r="Z43"/>
      <c r="AA43"/>
    </row>
    <row r="44" spans="1:27" ht="50.1" customHeight="1">
      <c r="A44" s="3117">
        <v>12</v>
      </c>
      <c r="B44" s="3124">
        <v>821613</v>
      </c>
      <c r="C44" s="3127"/>
      <c r="D44" s="3076" t="s">
        <v>985</v>
      </c>
      <c r="E44" s="3120" t="s">
        <v>974</v>
      </c>
      <c r="F44" s="1627">
        <v>3039</v>
      </c>
      <c r="G44" s="1332">
        <v>150000</v>
      </c>
      <c r="H44" s="1476">
        <f t="shared" si="4"/>
        <v>153039</v>
      </c>
      <c r="I44" s="3080"/>
      <c r="J44" s="1332">
        <v>150000</v>
      </c>
      <c r="K44" s="3081">
        <f t="shared" si="5"/>
        <v>150000</v>
      </c>
      <c r="L44" s="345">
        <f t="shared" si="3"/>
        <v>0</v>
      </c>
      <c r="M44" s="331"/>
      <c r="N44" s="331"/>
      <c r="O44" s="331"/>
      <c r="P44" s="331"/>
      <c r="Q44" s="331"/>
      <c r="R44" s="331"/>
      <c r="S44" s="331"/>
      <c r="T44" s="275"/>
      <c r="U44" s="275"/>
      <c r="V44" s="275"/>
      <c r="Y44"/>
      <c r="Z44"/>
      <c r="AA44"/>
    </row>
    <row r="45" spans="1:27" ht="50.1" customHeight="1">
      <c r="A45" s="3117">
        <v>13</v>
      </c>
      <c r="B45" s="3124">
        <v>821613</v>
      </c>
      <c r="C45" s="3127"/>
      <c r="D45" s="3076" t="s">
        <v>986</v>
      </c>
      <c r="E45" s="3120" t="s">
        <v>974</v>
      </c>
      <c r="F45" s="1627"/>
      <c r="G45" s="1332">
        <v>300000</v>
      </c>
      <c r="H45" s="1476">
        <f t="shared" si="4"/>
        <v>300000</v>
      </c>
      <c r="I45" s="3080"/>
      <c r="J45" s="1332">
        <v>150000</v>
      </c>
      <c r="K45" s="3081">
        <f t="shared" si="5"/>
        <v>150000</v>
      </c>
      <c r="L45" s="345">
        <f t="shared" si="3"/>
        <v>0</v>
      </c>
      <c r="M45" s="331"/>
      <c r="N45" s="331"/>
      <c r="O45" s="331"/>
      <c r="P45" s="331"/>
      <c r="Q45" s="331"/>
      <c r="R45" s="331"/>
      <c r="S45" s="331"/>
      <c r="T45" s="275"/>
      <c r="U45" s="275"/>
      <c r="V45" s="275"/>
      <c r="Y45"/>
      <c r="Z45"/>
      <c r="AA45"/>
    </row>
    <row r="46" spans="1:27" ht="50.1" customHeight="1">
      <c r="A46" s="3117">
        <v>14</v>
      </c>
      <c r="B46" s="3130"/>
      <c r="C46" s="3127"/>
      <c r="D46" s="3131" t="s">
        <v>1164</v>
      </c>
      <c r="E46" s="3102" t="s">
        <v>974</v>
      </c>
      <c r="F46" s="3132"/>
      <c r="G46" s="3133">
        <v>150000</v>
      </c>
      <c r="H46" s="1476">
        <f t="shared" si="4"/>
        <v>150000</v>
      </c>
      <c r="I46" s="3098"/>
      <c r="J46" s="3133"/>
      <c r="K46" s="3081">
        <f t="shared" si="5"/>
        <v>0</v>
      </c>
      <c r="L46" s="345">
        <f t="shared" si="3"/>
        <v>0</v>
      </c>
      <c r="M46" s="331"/>
      <c r="N46" s="331"/>
      <c r="O46" s="331"/>
      <c r="P46" s="331"/>
      <c r="Q46" s="331"/>
      <c r="R46" s="331"/>
      <c r="S46" s="331"/>
      <c r="T46" s="275"/>
      <c r="U46" s="275"/>
      <c r="V46" s="275"/>
      <c r="Y46"/>
      <c r="Z46"/>
      <c r="AA46"/>
    </row>
    <row r="47" spans="1:27" ht="50.1" customHeight="1">
      <c r="A47" s="3117">
        <v>15</v>
      </c>
      <c r="B47" s="3130"/>
      <c r="C47" s="3127"/>
      <c r="D47" s="3131" t="s">
        <v>1165</v>
      </c>
      <c r="E47" s="3102" t="s">
        <v>974</v>
      </c>
      <c r="F47" s="3132"/>
      <c r="G47" s="3133">
        <v>100000</v>
      </c>
      <c r="H47" s="1476">
        <f t="shared" si="4"/>
        <v>100000</v>
      </c>
      <c r="I47" s="3098"/>
      <c r="J47" s="3133"/>
      <c r="K47" s="3081">
        <f t="shared" si="5"/>
        <v>0</v>
      </c>
      <c r="L47" s="345">
        <f t="shared" si="3"/>
        <v>0</v>
      </c>
      <c r="M47" s="331"/>
      <c r="N47" s="331"/>
      <c r="O47" s="331"/>
      <c r="P47" s="331"/>
      <c r="Q47" s="331"/>
      <c r="R47" s="331"/>
      <c r="S47" s="331"/>
      <c r="T47" s="275"/>
      <c r="U47" s="275"/>
      <c r="V47" s="275"/>
      <c r="Y47"/>
      <c r="Z47"/>
      <c r="AA47"/>
    </row>
    <row r="48" spans="1:27" ht="50.1" customHeight="1">
      <c r="A48" s="3117">
        <v>16</v>
      </c>
      <c r="B48" s="3130"/>
      <c r="C48" s="3127"/>
      <c r="D48" s="3134" t="s">
        <v>1166</v>
      </c>
      <c r="E48" s="3102" t="s">
        <v>974</v>
      </c>
      <c r="F48" s="3132"/>
      <c r="G48" s="3133">
        <v>100000</v>
      </c>
      <c r="H48" s="1476">
        <f t="shared" si="4"/>
        <v>100000</v>
      </c>
      <c r="I48" s="3098"/>
      <c r="J48" s="3133">
        <v>80000</v>
      </c>
      <c r="K48" s="3081">
        <f t="shared" si="5"/>
        <v>80000</v>
      </c>
      <c r="L48" s="345">
        <f t="shared" si="3"/>
        <v>0</v>
      </c>
      <c r="M48" s="331"/>
      <c r="N48" s="331"/>
      <c r="O48" s="331"/>
      <c r="P48" s="331"/>
      <c r="Q48" s="331"/>
      <c r="R48" s="331"/>
      <c r="S48" s="331"/>
      <c r="T48" s="275"/>
      <c r="U48" s="275"/>
      <c r="V48" s="275"/>
      <c r="Y48"/>
      <c r="Z48"/>
      <c r="AA48"/>
    </row>
    <row r="49" spans="1:27" ht="50.1" customHeight="1">
      <c r="A49" s="3117">
        <v>17</v>
      </c>
      <c r="B49" s="3135"/>
      <c r="C49" s="3136"/>
      <c r="D49" s="3137" t="s">
        <v>1167</v>
      </c>
      <c r="E49" s="3138" t="s">
        <v>974</v>
      </c>
      <c r="F49" s="3132"/>
      <c r="G49" s="3133">
        <v>50000</v>
      </c>
      <c r="H49" s="3139">
        <f t="shared" si="4"/>
        <v>50000</v>
      </c>
      <c r="I49" s="3098"/>
      <c r="J49" s="3133">
        <v>50000</v>
      </c>
      <c r="K49" s="3140">
        <f t="shared" si="5"/>
        <v>50000</v>
      </c>
      <c r="L49" s="345">
        <f t="shared" si="3"/>
        <v>0</v>
      </c>
      <c r="M49" s="331"/>
      <c r="N49" s="331"/>
      <c r="O49" s="331"/>
      <c r="P49" s="331"/>
      <c r="Q49" s="331"/>
      <c r="R49" s="331"/>
      <c r="S49" s="331"/>
      <c r="T49" s="275"/>
      <c r="U49" s="275"/>
      <c r="V49" s="275"/>
      <c r="Y49"/>
      <c r="Z49"/>
      <c r="AA49"/>
    </row>
    <row r="50" spans="1:27" ht="50.1" customHeight="1" thickBot="1">
      <c r="A50" s="3141">
        <v>18</v>
      </c>
      <c r="B50" s="3142"/>
      <c r="C50" s="3143"/>
      <c r="D50" s="3144" t="s">
        <v>1296</v>
      </c>
      <c r="E50" s="3145" t="s">
        <v>974</v>
      </c>
      <c r="F50" s="3146"/>
      <c r="G50" s="3147"/>
      <c r="H50" s="3148"/>
      <c r="I50" s="3104"/>
      <c r="J50" s="3149"/>
      <c r="K50" s="3150"/>
      <c r="L50" s="345">
        <f t="shared" si="3"/>
        <v>0</v>
      </c>
      <c r="M50" s="331"/>
      <c r="N50" s="331"/>
      <c r="O50" s="331"/>
      <c r="P50" s="331"/>
      <c r="Q50" s="331"/>
      <c r="R50" s="331"/>
      <c r="S50" s="331"/>
      <c r="T50" s="275"/>
      <c r="U50" s="275"/>
      <c r="V50" s="275"/>
      <c r="Y50"/>
      <c r="Z50"/>
      <c r="AA50"/>
    </row>
    <row r="51" spans="1:27" ht="50.1" customHeight="1" thickTop="1" thickBot="1">
      <c r="A51" s="3151"/>
      <c r="B51" s="3152"/>
      <c r="C51" s="3153"/>
      <c r="D51" s="3154"/>
      <c r="E51" s="3155"/>
      <c r="F51" s="3156"/>
      <c r="G51" s="3156"/>
      <c r="H51" s="3156"/>
      <c r="I51" s="3112"/>
      <c r="J51" s="3112"/>
      <c r="K51" s="3156"/>
      <c r="L51" s="345">
        <f t="shared" si="3"/>
        <v>0</v>
      </c>
      <c r="M51" s="326"/>
      <c r="N51" s="326"/>
      <c r="O51" s="326"/>
      <c r="P51" s="326"/>
      <c r="Q51" s="326"/>
      <c r="R51" s="326"/>
      <c r="S51" s="326"/>
      <c r="T51" s="275"/>
      <c r="U51" s="275"/>
      <c r="V51" s="275"/>
      <c r="Y51"/>
      <c r="Z51"/>
      <c r="AA51"/>
    </row>
    <row r="52" spans="1:27" ht="50.1" customHeight="1" thickTop="1">
      <c r="A52" s="3157" t="s">
        <v>0</v>
      </c>
      <c r="B52" s="3158"/>
      <c r="C52" s="3159"/>
      <c r="D52" s="3160" t="s">
        <v>987</v>
      </c>
      <c r="E52" s="3161" t="s">
        <v>988</v>
      </c>
      <c r="F52" s="3162">
        <f t="shared" ref="F52:K52" si="6">SUM(F56:F77)</f>
        <v>324727.54000000004</v>
      </c>
      <c r="G52" s="3163">
        <f t="shared" si="6"/>
        <v>414040</v>
      </c>
      <c r="H52" s="3164">
        <f t="shared" si="6"/>
        <v>738767.54</v>
      </c>
      <c r="I52" s="3162">
        <f t="shared" si="6"/>
        <v>0</v>
      </c>
      <c r="J52" s="3163">
        <f>SUM(J53:J77)</f>
        <v>200000</v>
      </c>
      <c r="K52" s="3165">
        <f t="shared" si="6"/>
        <v>0</v>
      </c>
      <c r="L52" s="345">
        <f>'Rashodi i izdaci-poseban dio'!W350</f>
        <v>55000</v>
      </c>
      <c r="M52" s="330">
        <f>'[2]PRIH REBALANS'!$AK$869</f>
        <v>738768.35</v>
      </c>
      <c r="N52" s="330"/>
      <c r="O52" s="330"/>
      <c r="P52" s="330"/>
      <c r="Q52" s="330"/>
      <c r="R52" s="330"/>
      <c r="S52" s="330"/>
      <c r="T52" s="274">
        <f>'[13]BUDŽET 2021'!$N$878</f>
        <v>738768.35</v>
      </c>
      <c r="U52" s="274">
        <f>'[13]BUDŽET 2021'!$N$880</f>
        <v>324728.34999999998</v>
      </c>
      <c r="V52" s="274">
        <f>'[13]BUDŽET 2021'!$N$879</f>
        <v>414040</v>
      </c>
      <c r="W52" s="274">
        <f>V52+U52-T52</f>
        <v>0</v>
      </c>
      <c r="Y52"/>
      <c r="Z52"/>
      <c r="AA52"/>
    </row>
    <row r="53" spans="1:27" s="335" customFormat="1" ht="50.1" customHeight="1">
      <c r="A53" s="3117">
        <v>1</v>
      </c>
      <c r="B53" s="3166"/>
      <c r="C53" s="3119"/>
      <c r="D53" s="3076" t="s">
        <v>1689</v>
      </c>
      <c r="E53" s="3120" t="s">
        <v>988</v>
      </c>
      <c r="F53" s="3122"/>
      <c r="G53" s="3167"/>
      <c r="H53" s="3121"/>
      <c r="I53" s="3122"/>
      <c r="J53" s="3123">
        <v>130000</v>
      </c>
      <c r="K53" s="3168">
        <f>I53+J53</f>
        <v>130000</v>
      </c>
      <c r="L53" s="435"/>
      <c r="M53" s="1728"/>
      <c r="N53" s="1728"/>
      <c r="O53" s="1728"/>
      <c r="P53" s="1728"/>
      <c r="Q53" s="1728"/>
      <c r="R53" s="1728"/>
      <c r="S53" s="1728"/>
      <c r="T53" s="336"/>
      <c r="U53" s="336"/>
      <c r="V53" s="336"/>
      <c r="W53" s="336"/>
      <c r="X53" s="334"/>
    </row>
    <row r="54" spans="1:27" s="335" customFormat="1" ht="50.1" customHeight="1">
      <c r="A54" s="3117">
        <v>2</v>
      </c>
      <c r="B54" s="3166"/>
      <c r="C54" s="3119"/>
      <c r="D54" s="3076" t="s">
        <v>1690</v>
      </c>
      <c r="E54" s="3120" t="s">
        <v>988</v>
      </c>
      <c r="F54" s="3122"/>
      <c r="G54" s="3167"/>
      <c r="H54" s="3121"/>
      <c r="I54" s="3122"/>
      <c r="J54" s="3123">
        <v>30000</v>
      </c>
      <c r="K54" s="3168">
        <f t="shared" ref="K54:K55" si="7">I54+J54</f>
        <v>30000</v>
      </c>
      <c r="L54" s="435"/>
      <c r="M54" s="1728"/>
      <c r="N54" s="1728"/>
      <c r="O54" s="1728"/>
      <c r="P54" s="1728"/>
      <c r="Q54" s="1728"/>
      <c r="R54" s="1728"/>
      <c r="S54" s="1728"/>
      <c r="T54" s="336"/>
      <c r="U54" s="336"/>
      <c r="V54" s="336"/>
      <c r="W54" s="336"/>
      <c r="X54" s="334"/>
    </row>
    <row r="55" spans="1:27" s="335" customFormat="1" ht="50.1" customHeight="1">
      <c r="A55" s="3117">
        <v>3</v>
      </c>
      <c r="B55" s="3166"/>
      <c r="C55" s="3119"/>
      <c r="D55" s="3076" t="s">
        <v>1691</v>
      </c>
      <c r="E55" s="3120" t="s">
        <v>988</v>
      </c>
      <c r="F55" s="3122"/>
      <c r="G55" s="3167"/>
      <c r="H55" s="3121"/>
      <c r="I55" s="3122"/>
      <c r="J55" s="3123">
        <v>40000</v>
      </c>
      <c r="K55" s="3168">
        <f t="shared" si="7"/>
        <v>40000</v>
      </c>
      <c r="L55" s="435"/>
      <c r="M55" s="1728"/>
      <c r="N55" s="1728"/>
      <c r="O55" s="1728"/>
      <c r="P55" s="1728"/>
      <c r="Q55" s="1728"/>
      <c r="R55" s="1728"/>
      <c r="S55" s="1728"/>
      <c r="T55" s="336"/>
      <c r="U55" s="336"/>
      <c r="V55" s="336"/>
      <c r="W55" s="336"/>
      <c r="X55" s="334"/>
    </row>
    <row r="56" spans="1:27" ht="50.1" customHeight="1">
      <c r="A56" s="3117">
        <v>4</v>
      </c>
      <c r="B56" s="3169">
        <v>821224</v>
      </c>
      <c r="C56" s="3127"/>
      <c r="D56" s="3076" t="s">
        <v>989</v>
      </c>
      <c r="E56" s="3120" t="s">
        <v>988</v>
      </c>
      <c r="F56" s="3078">
        <v>25000</v>
      </c>
      <c r="G56" s="3083"/>
      <c r="H56" s="3170">
        <f t="shared" ref="H56:H77" si="8">F56+G56</f>
        <v>25000</v>
      </c>
      <c r="I56" s="3080"/>
      <c r="J56" s="1332"/>
      <c r="K56" s="3171">
        <f t="shared" ref="K56:K77" si="9">I56+J56</f>
        <v>0</v>
      </c>
      <c r="L56" s="345">
        <f t="shared" si="3"/>
        <v>0</v>
      </c>
      <c r="M56" s="331"/>
      <c r="N56" s="331"/>
      <c r="O56" s="331"/>
      <c r="P56" s="331"/>
      <c r="Q56" s="331"/>
      <c r="R56" s="331"/>
      <c r="S56" s="331"/>
      <c r="T56" s="275"/>
      <c r="U56" s="275"/>
      <c r="V56" s="275"/>
      <c r="Y56"/>
      <c r="Z56"/>
      <c r="AA56"/>
    </row>
    <row r="57" spans="1:27" ht="50.1" customHeight="1">
      <c r="A57" s="3117">
        <v>5</v>
      </c>
      <c r="B57" s="3169">
        <v>821513</v>
      </c>
      <c r="C57" s="3127"/>
      <c r="D57" s="3076" t="s">
        <v>990</v>
      </c>
      <c r="E57" s="3120" t="s">
        <v>988</v>
      </c>
      <c r="F57" s="3078">
        <v>22352.2</v>
      </c>
      <c r="G57" s="3083">
        <v>5000</v>
      </c>
      <c r="H57" s="3170">
        <f t="shared" si="8"/>
        <v>27352.2</v>
      </c>
      <c r="I57" s="3080"/>
      <c r="J57" s="1332"/>
      <c r="K57" s="3171">
        <f t="shared" si="9"/>
        <v>0</v>
      </c>
      <c r="L57" s="345">
        <f t="shared" si="3"/>
        <v>0</v>
      </c>
      <c r="M57" s="331"/>
      <c r="N57" s="331"/>
      <c r="O57" s="331"/>
      <c r="P57" s="331"/>
      <c r="Q57" s="331"/>
      <c r="R57" s="331"/>
      <c r="S57" s="331"/>
      <c r="T57" s="275"/>
      <c r="U57" s="275"/>
      <c r="V57" s="275"/>
      <c r="Y57"/>
      <c r="Z57"/>
      <c r="AA57"/>
    </row>
    <row r="58" spans="1:27" s="335" customFormat="1" ht="50.1" customHeight="1">
      <c r="A58" s="3117">
        <v>6</v>
      </c>
      <c r="B58" s="3169"/>
      <c r="C58" s="3127"/>
      <c r="D58" s="3076" t="s">
        <v>991</v>
      </c>
      <c r="E58" s="3120" t="s">
        <v>988</v>
      </c>
      <c r="F58" s="3078">
        <v>20000</v>
      </c>
      <c r="G58" s="3083"/>
      <c r="H58" s="3170">
        <f t="shared" si="8"/>
        <v>20000</v>
      </c>
      <c r="I58" s="3080"/>
      <c r="J58" s="1332"/>
      <c r="K58" s="3171">
        <f t="shared" si="9"/>
        <v>0</v>
      </c>
      <c r="L58" s="345">
        <f t="shared" si="3"/>
        <v>0</v>
      </c>
      <c r="M58" s="331"/>
      <c r="N58" s="331"/>
      <c r="O58" s="331"/>
      <c r="P58" s="331"/>
      <c r="Q58" s="331"/>
      <c r="R58" s="331"/>
      <c r="S58" s="331"/>
      <c r="T58" s="334"/>
      <c r="U58" s="334"/>
      <c r="V58" s="334"/>
      <c r="W58" s="334"/>
      <c r="X58" s="334"/>
    </row>
    <row r="59" spans="1:27" s="335" customFormat="1" ht="50.1" customHeight="1">
      <c r="A59" s="3117">
        <v>7</v>
      </c>
      <c r="B59" s="3169">
        <v>821221</v>
      </c>
      <c r="C59" s="3127"/>
      <c r="D59" s="3076" t="s">
        <v>992</v>
      </c>
      <c r="E59" s="3120" t="s">
        <v>988</v>
      </c>
      <c r="F59" s="3078">
        <v>20000</v>
      </c>
      <c r="G59" s="3083"/>
      <c r="H59" s="3170">
        <f t="shared" si="8"/>
        <v>20000</v>
      </c>
      <c r="I59" s="3080"/>
      <c r="J59" s="1332"/>
      <c r="K59" s="3171">
        <f t="shared" si="9"/>
        <v>0</v>
      </c>
      <c r="L59" s="345">
        <f t="shared" si="3"/>
        <v>0</v>
      </c>
      <c r="M59" s="331"/>
      <c r="N59" s="331"/>
      <c r="O59" s="331"/>
      <c r="P59" s="331"/>
      <c r="Q59" s="331"/>
      <c r="R59" s="331"/>
      <c r="S59" s="331"/>
      <c r="T59" s="334"/>
      <c r="U59" s="334"/>
      <c r="V59" s="334"/>
      <c r="W59" s="334"/>
      <c r="X59" s="334"/>
    </row>
    <row r="60" spans="1:27" s="335" customFormat="1" ht="50.1" customHeight="1">
      <c r="A60" s="3117">
        <v>8</v>
      </c>
      <c r="B60" s="3169">
        <v>821221</v>
      </c>
      <c r="C60" s="3127"/>
      <c r="D60" s="3076" t="s">
        <v>993</v>
      </c>
      <c r="E60" s="3120" t="s">
        <v>988</v>
      </c>
      <c r="F60" s="3078">
        <v>31778</v>
      </c>
      <c r="G60" s="3083">
        <v>1390</v>
      </c>
      <c r="H60" s="3170">
        <f t="shared" si="8"/>
        <v>33168</v>
      </c>
      <c r="I60" s="3080"/>
      <c r="J60" s="1332"/>
      <c r="K60" s="3171">
        <f t="shared" si="9"/>
        <v>0</v>
      </c>
      <c r="L60" s="345">
        <f t="shared" si="3"/>
        <v>0</v>
      </c>
      <c r="M60" s="331"/>
      <c r="N60" s="331"/>
      <c r="O60" s="331"/>
      <c r="P60" s="331"/>
      <c r="Q60" s="331"/>
      <c r="R60" s="331"/>
      <c r="S60" s="331"/>
      <c r="T60" s="334"/>
      <c r="U60" s="334"/>
      <c r="V60" s="334"/>
      <c r="W60" s="334"/>
      <c r="X60" s="334"/>
    </row>
    <row r="61" spans="1:27" ht="50.1" customHeight="1">
      <c r="A61" s="3117">
        <v>9</v>
      </c>
      <c r="B61" s="3169">
        <v>821222</v>
      </c>
      <c r="C61" s="3127"/>
      <c r="D61" s="3076" t="s">
        <v>994</v>
      </c>
      <c r="E61" s="3120" t="s">
        <v>988</v>
      </c>
      <c r="F61" s="3078">
        <v>13560</v>
      </c>
      <c r="G61" s="3083">
        <v>19000</v>
      </c>
      <c r="H61" s="3170">
        <f t="shared" si="8"/>
        <v>32560</v>
      </c>
      <c r="I61" s="3080"/>
      <c r="J61" s="1332"/>
      <c r="K61" s="3171">
        <f t="shared" si="9"/>
        <v>0</v>
      </c>
      <c r="L61" s="345">
        <f t="shared" si="3"/>
        <v>0</v>
      </c>
      <c r="M61" s="331"/>
      <c r="N61" s="331"/>
      <c r="O61" s="331"/>
      <c r="P61" s="331"/>
      <c r="Q61" s="331"/>
      <c r="R61" s="331"/>
      <c r="S61" s="331"/>
      <c r="T61" s="275"/>
      <c r="U61" s="275"/>
      <c r="V61" s="275"/>
      <c r="Y61"/>
      <c r="Z61"/>
      <c r="AA61"/>
    </row>
    <row r="62" spans="1:27" ht="50.1" customHeight="1">
      <c r="A62" s="3117">
        <v>10</v>
      </c>
      <c r="B62" s="3169">
        <v>821612</v>
      </c>
      <c r="C62" s="3127"/>
      <c r="D62" s="3076" t="s">
        <v>995</v>
      </c>
      <c r="E62" s="3120" t="s">
        <v>988</v>
      </c>
      <c r="F62" s="3078">
        <v>1466.34</v>
      </c>
      <c r="G62" s="3083"/>
      <c r="H62" s="3170">
        <f t="shared" si="8"/>
        <v>1466.34</v>
      </c>
      <c r="I62" s="3080"/>
      <c r="J62" s="1332"/>
      <c r="K62" s="3171">
        <f t="shared" si="9"/>
        <v>0</v>
      </c>
      <c r="L62" s="345">
        <f t="shared" si="3"/>
        <v>0</v>
      </c>
      <c r="M62" s="331"/>
      <c r="N62" s="331"/>
      <c r="O62" s="331"/>
      <c r="P62" s="331"/>
      <c r="Q62" s="331"/>
      <c r="R62" s="331"/>
      <c r="S62" s="331"/>
      <c r="T62" s="275"/>
      <c r="U62" s="275"/>
      <c r="V62" s="275"/>
      <c r="Y62"/>
      <c r="Z62"/>
      <c r="AA62"/>
    </row>
    <row r="63" spans="1:27" ht="50.1" customHeight="1">
      <c r="A63" s="3117">
        <v>11</v>
      </c>
      <c r="B63" s="3169">
        <v>821612</v>
      </c>
      <c r="C63" s="3127"/>
      <c r="D63" s="3076" t="s">
        <v>996</v>
      </c>
      <c r="E63" s="3120" t="s">
        <v>988</v>
      </c>
      <c r="F63" s="3078">
        <v>100000</v>
      </c>
      <c r="G63" s="3083"/>
      <c r="H63" s="3170">
        <f t="shared" si="8"/>
        <v>100000</v>
      </c>
      <c r="I63" s="3080"/>
      <c r="J63" s="1332"/>
      <c r="K63" s="3171">
        <f t="shared" si="9"/>
        <v>0</v>
      </c>
      <c r="L63" s="345">
        <f t="shared" si="3"/>
        <v>0</v>
      </c>
      <c r="M63" s="331"/>
      <c r="N63" s="331"/>
      <c r="O63" s="331"/>
      <c r="P63" s="331"/>
      <c r="Q63" s="331"/>
      <c r="R63" s="331"/>
      <c r="S63" s="331"/>
      <c r="T63" s="275"/>
      <c r="U63" s="275"/>
      <c r="V63" s="275"/>
      <c r="Y63"/>
      <c r="Z63"/>
      <c r="AA63"/>
    </row>
    <row r="64" spans="1:27" ht="50.1" customHeight="1">
      <c r="A64" s="3117">
        <v>12</v>
      </c>
      <c r="B64" s="3169">
        <v>821612</v>
      </c>
      <c r="C64" s="3127"/>
      <c r="D64" s="3076" t="s">
        <v>997</v>
      </c>
      <c r="E64" s="3120" t="s">
        <v>988</v>
      </c>
      <c r="F64" s="3078">
        <v>60000</v>
      </c>
      <c r="G64" s="3083">
        <v>20000</v>
      </c>
      <c r="H64" s="3170">
        <f t="shared" si="8"/>
        <v>80000</v>
      </c>
      <c r="I64" s="3080"/>
      <c r="J64" s="1332"/>
      <c r="K64" s="3171">
        <f t="shared" si="9"/>
        <v>0</v>
      </c>
      <c r="L64" s="345">
        <f t="shared" si="3"/>
        <v>0</v>
      </c>
      <c r="M64" s="331"/>
      <c r="N64" s="331"/>
      <c r="O64" s="331"/>
      <c r="P64" s="331"/>
      <c r="Q64" s="331"/>
      <c r="R64" s="331"/>
      <c r="S64" s="331"/>
      <c r="T64" s="275"/>
      <c r="U64" s="275"/>
      <c r="V64" s="275"/>
      <c r="Y64"/>
      <c r="Z64"/>
      <c r="AA64"/>
    </row>
    <row r="65" spans="1:27" ht="50.1" customHeight="1">
      <c r="A65" s="3117">
        <v>13</v>
      </c>
      <c r="B65" s="3169">
        <v>821224</v>
      </c>
      <c r="C65" s="3075"/>
      <c r="D65" s="3172" t="s">
        <v>998</v>
      </c>
      <c r="E65" s="3173" t="s">
        <v>988</v>
      </c>
      <c r="F65" s="3078">
        <v>4619</v>
      </c>
      <c r="G65" s="3083">
        <v>2401</v>
      </c>
      <c r="H65" s="3174">
        <f t="shared" si="8"/>
        <v>7020</v>
      </c>
      <c r="I65" s="3080"/>
      <c r="J65" s="1332"/>
      <c r="K65" s="3175">
        <f t="shared" si="9"/>
        <v>0</v>
      </c>
      <c r="L65" s="345">
        <f t="shared" si="3"/>
        <v>0</v>
      </c>
      <c r="M65" s="331"/>
      <c r="N65" s="331"/>
      <c r="O65" s="331"/>
      <c r="P65" s="331"/>
      <c r="Q65" s="331"/>
      <c r="R65" s="331"/>
      <c r="S65" s="331"/>
      <c r="T65" s="275"/>
      <c r="U65" s="275"/>
      <c r="V65" s="275"/>
      <c r="Y65"/>
      <c r="Z65"/>
      <c r="AA65"/>
    </row>
    <row r="66" spans="1:27" ht="50.1" customHeight="1">
      <c r="A66" s="3117">
        <v>14</v>
      </c>
      <c r="B66" s="3176"/>
      <c r="C66" s="3075"/>
      <c r="D66" s="3177" t="s">
        <v>1179</v>
      </c>
      <c r="E66" s="3178" t="s">
        <v>988</v>
      </c>
      <c r="F66" s="3096">
        <v>25952</v>
      </c>
      <c r="G66" s="3179">
        <v>24049</v>
      </c>
      <c r="H66" s="3180">
        <f t="shared" si="8"/>
        <v>50001</v>
      </c>
      <c r="I66" s="3098"/>
      <c r="J66" s="3133"/>
      <c r="K66" s="3181">
        <f t="shared" si="9"/>
        <v>0</v>
      </c>
      <c r="L66" s="345">
        <f t="shared" si="3"/>
        <v>0</v>
      </c>
      <c r="M66" s="332"/>
      <c r="N66" s="332"/>
      <c r="O66" s="332"/>
      <c r="P66" s="332"/>
      <c r="Q66" s="332"/>
      <c r="R66" s="332"/>
      <c r="S66" s="332"/>
      <c r="T66" s="275"/>
      <c r="U66" s="275"/>
      <c r="V66" s="275"/>
      <c r="Y66"/>
      <c r="Z66"/>
      <c r="AA66"/>
    </row>
    <row r="67" spans="1:27" ht="50.1" customHeight="1">
      <c r="A67" s="3117">
        <v>15</v>
      </c>
      <c r="B67" s="3176"/>
      <c r="C67" s="3075"/>
      <c r="D67" s="3182" t="s">
        <v>1168</v>
      </c>
      <c r="E67" s="3183" t="s">
        <v>988</v>
      </c>
      <c r="F67" s="3096"/>
      <c r="G67" s="3184">
        <v>80000</v>
      </c>
      <c r="H67" s="3180">
        <f t="shared" si="8"/>
        <v>80000</v>
      </c>
      <c r="I67" s="3098"/>
      <c r="J67" s="3099"/>
      <c r="K67" s="3181">
        <f t="shared" si="9"/>
        <v>0</v>
      </c>
      <c r="L67" s="345">
        <f t="shared" si="3"/>
        <v>0</v>
      </c>
      <c r="M67" s="332"/>
      <c r="N67" s="332"/>
      <c r="O67" s="332"/>
      <c r="P67" s="332"/>
      <c r="Q67" s="332"/>
      <c r="R67" s="332"/>
      <c r="S67" s="332"/>
      <c r="T67" s="275"/>
      <c r="U67" s="275"/>
      <c r="V67" s="275"/>
      <c r="Y67"/>
      <c r="Z67"/>
      <c r="AA67"/>
    </row>
    <row r="68" spans="1:27" ht="50.1" customHeight="1">
      <c r="A68" s="3117">
        <v>16</v>
      </c>
      <c r="B68" s="3176"/>
      <c r="C68" s="3075"/>
      <c r="D68" s="3182" t="s">
        <v>1169</v>
      </c>
      <c r="E68" s="3183" t="s">
        <v>988</v>
      </c>
      <c r="F68" s="3096"/>
      <c r="G68" s="3184">
        <v>17500</v>
      </c>
      <c r="H68" s="3180">
        <f t="shared" si="8"/>
        <v>17500</v>
      </c>
      <c r="I68" s="3098"/>
      <c r="J68" s="3099"/>
      <c r="K68" s="3181">
        <f t="shared" si="9"/>
        <v>0</v>
      </c>
      <c r="L68" s="345">
        <f t="shared" si="3"/>
        <v>0</v>
      </c>
      <c r="M68" s="332"/>
      <c r="N68" s="332"/>
      <c r="O68" s="332"/>
      <c r="P68" s="332"/>
      <c r="Q68" s="332"/>
      <c r="R68" s="332"/>
      <c r="S68" s="332"/>
      <c r="T68" s="275"/>
      <c r="U68" s="275"/>
      <c r="V68" s="275"/>
      <c r="Y68"/>
      <c r="Z68"/>
      <c r="AA68"/>
    </row>
    <row r="69" spans="1:27" ht="50.1" customHeight="1">
      <c r="A69" s="3117">
        <v>17</v>
      </c>
      <c r="B69" s="3176"/>
      <c r="C69" s="3075"/>
      <c r="D69" s="3182" t="s">
        <v>1170</v>
      </c>
      <c r="E69" s="3183" t="s">
        <v>988</v>
      </c>
      <c r="F69" s="3096"/>
      <c r="G69" s="3184">
        <v>15500</v>
      </c>
      <c r="H69" s="3180">
        <f t="shared" si="8"/>
        <v>15500</v>
      </c>
      <c r="I69" s="3098"/>
      <c r="J69" s="3099"/>
      <c r="K69" s="3181">
        <f t="shared" si="9"/>
        <v>0</v>
      </c>
      <c r="L69" s="345">
        <f t="shared" si="3"/>
        <v>0</v>
      </c>
      <c r="M69" s="332"/>
      <c r="N69" s="332"/>
      <c r="O69" s="332"/>
      <c r="P69" s="332"/>
      <c r="Q69" s="332"/>
      <c r="R69" s="332"/>
      <c r="S69" s="332"/>
      <c r="T69" s="275"/>
      <c r="U69" s="275"/>
      <c r="V69" s="275"/>
      <c r="Y69"/>
      <c r="Z69"/>
      <c r="AA69"/>
    </row>
    <row r="70" spans="1:27" ht="50.1" customHeight="1">
      <c r="A70" s="3117">
        <v>18</v>
      </c>
      <c r="B70" s="3176"/>
      <c r="C70" s="3075"/>
      <c r="D70" s="3182" t="s">
        <v>1171</v>
      </c>
      <c r="E70" s="3183" t="s">
        <v>988</v>
      </c>
      <c r="F70" s="3096"/>
      <c r="G70" s="3184">
        <v>20000</v>
      </c>
      <c r="H70" s="3180">
        <f t="shared" si="8"/>
        <v>20000</v>
      </c>
      <c r="I70" s="3098"/>
      <c r="J70" s="3099"/>
      <c r="K70" s="3181">
        <f t="shared" si="9"/>
        <v>0</v>
      </c>
      <c r="L70" s="345">
        <f t="shared" si="3"/>
        <v>0</v>
      </c>
      <c r="M70" s="332"/>
      <c r="N70" s="332"/>
      <c r="O70" s="332"/>
      <c r="P70" s="332"/>
      <c r="Q70" s="332"/>
      <c r="R70" s="332"/>
      <c r="S70" s="332"/>
      <c r="T70" s="275"/>
      <c r="U70" s="275"/>
      <c r="V70" s="275"/>
      <c r="Y70"/>
      <c r="Z70"/>
      <c r="AA70"/>
    </row>
    <row r="71" spans="1:27" ht="50.1" customHeight="1">
      <c r="A71" s="3117">
        <v>19</v>
      </c>
      <c r="B71" s="3176"/>
      <c r="C71" s="3075"/>
      <c r="D71" s="3182" t="s">
        <v>1172</v>
      </c>
      <c r="E71" s="3183" t="s">
        <v>988</v>
      </c>
      <c r="F71" s="3096"/>
      <c r="G71" s="3184">
        <v>19200</v>
      </c>
      <c r="H71" s="3180">
        <f t="shared" si="8"/>
        <v>19200</v>
      </c>
      <c r="I71" s="3098"/>
      <c r="J71" s="3099"/>
      <c r="K71" s="3181">
        <f t="shared" si="9"/>
        <v>0</v>
      </c>
      <c r="L71" s="345">
        <f t="shared" si="3"/>
        <v>0</v>
      </c>
      <c r="M71" s="332"/>
      <c r="N71" s="332"/>
      <c r="O71" s="332"/>
      <c r="P71" s="332"/>
      <c r="Q71" s="332"/>
      <c r="R71" s="332"/>
      <c r="S71" s="332"/>
      <c r="T71" s="275"/>
      <c r="U71" s="275"/>
      <c r="V71" s="275"/>
      <c r="Y71"/>
      <c r="Z71"/>
      <c r="AA71"/>
    </row>
    <row r="72" spans="1:27" ht="50.1" customHeight="1">
      <c r="A72" s="3117">
        <v>20</v>
      </c>
      <c r="B72" s="3176"/>
      <c r="C72" s="3075"/>
      <c r="D72" s="3182" t="s">
        <v>1173</v>
      </c>
      <c r="E72" s="3183" t="s">
        <v>988</v>
      </c>
      <c r="F72" s="3096"/>
      <c r="G72" s="3184">
        <v>40000</v>
      </c>
      <c r="H72" s="3180">
        <f t="shared" si="8"/>
        <v>40000</v>
      </c>
      <c r="I72" s="3098"/>
      <c r="J72" s="3099"/>
      <c r="K72" s="3181">
        <f t="shared" si="9"/>
        <v>0</v>
      </c>
      <c r="L72" s="345">
        <f t="shared" si="3"/>
        <v>0</v>
      </c>
      <c r="M72" s="332"/>
      <c r="N72" s="332"/>
      <c r="O72" s="332"/>
      <c r="P72" s="332"/>
      <c r="Q72" s="332"/>
      <c r="R72" s="332"/>
      <c r="S72" s="332"/>
      <c r="T72" s="275"/>
      <c r="U72" s="275"/>
      <c r="V72" s="275"/>
      <c r="Y72"/>
      <c r="Z72"/>
      <c r="AA72"/>
    </row>
    <row r="73" spans="1:27" ht="50.1" customHeight="1">
      <c r="A73" s="3117">
        <v>21</v>
      </c>
      <c r="B73" s="3176"/>
      <c r="C73" s="3075"/>
      <c r="D73" s="3182" t="s">
        <v>1174</v>
      </c>
      <c r="E73" s="3183" t="s">
        <v>988</v>
      </c>
      <c r="F73" s="3096"/>
      <c r="G73" s="3184">
        <v>55000</v>
      </c>
      <c r="H73" s="3180">
        <f t="shared" si="8"/>
        <v>55000</v>
      </c>
      <c r="I73" s="3098"/>
      <c r="J73" s="3099"/>
      <c r="K73" s="3181">
        <f t="shared" si="9"/>
        <v>0</v>
      </c>
      <c r="L73" s="345">
        <f t="shared" si="3"/>
        <v>0</v>
      </c>
      <c r="M73" s="332"/>
      <c r="N73" s="332"/>
      <c r="O73" s="332"/>
      <c r="P73" s="332"/>
      <c r="Q73" s="332"/>
      <c r="R73" s="332"/>
      <c r="S73" s="332"/>
      <c r="T73" s="275"/>
      <c r="U73" s="275"/>
      <c r="V73" s="275"/>
      <c r="Y73"/>
      <c r="Z73"/>
      <c r="AA73"/>
    </row>
    <row r="74" spans="1:27" ht="50.1" customHeight="1">
      <c r="A74" s="3117">
        <v>22</v>
      </c>
      <c r="B74" s="3176"/>
      <c r="C74" s="3075"/>
      <c r="D74" s="3182" t="s">
        <v>1175</v>
      </c>
      <c r="E74" s="3183" t="s">
        <v>988</v>
      </c>
      <c r="F74" s="3096"/>
      <c r="G74" s="3184">
        <v>47000</v>
      </c>
      <c r="H74" s="3180">
        <f t="shared" si="8"/>
        <v>47000</v>
      </c>
      <c r="I74" s="3098"/>
      <c r="J74" s="3099"/>
      <c r="K74" s="3181">
        <f t="shared" si="9"/>
        <v>0</v>
      </c>
      <c r="L74" s="345">
        <f t="shared" si="3"/>
        <v>0</v>
      </c>
      <c r="M74" s="332"/>
      <c r="N74" s="332"/>
      <c r="O74" s="332"/>
      <c r="P74" s="332"/>
      <c r="Q74" s="332"/>
      <c r="R74" s="332"/>
      <c r="S74" s="332"/>
      <c r="T74" s="275"/>
      <c r="U74" s="275"/>
      <c r="V74" s="275"/>
      <c r="Y74"/>
      <c r="Z74"/>
      <c r="AA74"/>
    </row>
    <row r="75" spans="1:27" ht="50.1" customHeight="1">
      <c r="A75" s="3117">
        <v>23</v>
      </c>
      <c r="B75" s="3176"/>
      <c r="C75" s="3075"/>
      <c r="D75" s="3182" t="s">
        <v>1176</v>
      </c>
      <c r="E75" s="3183" t="s">
        <v>988</v>
      </c>
      <c r="F75" s="3096"/>
      <c r="G75" s="3184">
        <v>7000</v>
      </c>
      <c r="H75" s="3180">
        <f t="shared" si="8"/>
        <v>7000</v>
      </c>
      <c r="I75" s="3098"/>
      <c r="J75" s="3099"/>
      <c r="K75" s="3181">
        <f t="shared" si="9"/>
        <v>0</v>
      </c>
      <c r="L75" s="345">
        <f t="shared" ref="L75:L142" si="10">F75+G75-H75</f>
        <v>0</v>
      </c>
      <c r="M75" s="332"/>
      <c r="N75" s="332"/>
      <c r="O75" s="332"/>
      <c r="P75" s="332"/>
      <c r="Q75" s="332"/>
      <c r="R75" s="332"/>
      <c r="S75" s="332"/>
      <c r="T75" s="275"/>
      <c r="U75" s="275"/>
      <c r="V75" s="275"/>
      <c r="Y75"/>
      <c r="Z75"/>
      <c r="AA75"/>
    </row>
    <row r="76" spans="1:27" ht="50.1" customHeight="1">
      <c r="A76" s="3117">
        <v>24</v>
      </c>
      <c r="B76" s="3176"/>
      <c r="C76" s="3075"/>
      <c r="D76" s="3182" t="s">
        <v>1177</v>
      </c>
      <c r="E76" s="3183" t="s">
        <v>988</v>
      </c>
      <c r="F76" s="3096"/>
      <c r="G76" s="3184">
        <v>11000</v>
      </c>
      <c r="H76" s="3180">
        <f t="shared" si="8"/>
        <v>11000</v>
      </c>
      <c r="I76" s="3098"/>
      <c r="J76" s="3099"/>
      <c r="K76" s="3181">
        <f t="shared" si="9"/>
        <v>0</v>
      </c>
      <c r="L76" s="345">
        <f t="shared" si="10"/>
        <v>0</v>
      </c>
      <c r="M76" s="332"/>
      <c r="N76" s="332"/>
      <c r="O76" s="332"/>
      <c r="P76" s="332"/>
      <c r="Q76" s="332"/>
      <c r="R76" s="332"/>
      <c r="S76" s="332"/>
      <c r="T76" s="275"/>
      <c r="U76" s="275"/>
      <c r="V76" s="275"/>
      <c r="Y76"/>
      <c r="Z76"/>
      <c r="AA76"/>
    </row>
    <row r="77" spans="1:27" ht="50.1" customHeight="1" thickBot="1">
      <c r="A77" s="3185">
        <v>25</v>
      </c>
      <c r="B77" s="3176"/>
      <c r="C77" s="3186"/>
      <c r="D77" s="3182" t="s">
        <v>1178</v>
      </c>
      <c r="E77" s="3183" t="s">
        <v>988</v>
      </c>
      <c r="F77" s="3187"/>
      <c r="G77" s="3188">
        <v>30000</v>
      </c>
      <c r="H77" s="3189">
        <f t="shared" si="8"/>
        <v>30000</v>
      </c>
      <c r="I77" s="3104"/>
      <c r="J77" s="3105"/>
      <c r="K77" s="3190">
        <f t="shared" si="9"/>
        <v>0</v>
      </c>
      <c r="L77" s="345">
        <f t="shared" si="10"/>
        <v>0</v>
      </c>
      <c r="M77" s="332"/>
      <c r="N77" s="332"/>
      <c r="O77" s="332"/>
      <c r="P77" s="332"/>
      <c r="Q77" s="332"/>
      <c r="R77" s="332"/>
      <c r="S77" s="332"/>
      <c r="T77" s="275"/>
      <c r="U77" s="275"/>
      <c r="V77" s="275"/>
      <c r="Y77"/>
      <c r="Z77"/>
      <c r="AA77"/>
    </row>
    <row r="78" spans="1:27" ht="50.1" customHeight="1" thickTop="1" thickBot="1">
      <c r="A78" s="3106"/>
      <c r="B78" s="3107"/>
      <c r="C78" s="3108"/>
      <c r="D78" s="3109"/>
      <c r="E78" s="3110"/>
      <c r="F78" s="3111"/>
      <c r="G78" s="3111"/>
      <c r="H78" s="3111"/>
      <c r="I78" s="3112"/>
      <c r="J78" s="3112"/>
      <c r="K78" s="3111"/>
      <c r="L78" s="345">
        <f t="shared" si="10"/>
        <v>0</v>
      </c>
      <c r="M78" s="326"/>
      <c r="N78" s="326"/>
      <c r="O78" s="326"/>
      <c r="P78" s="326"/>
      <c r="Q78" s="326"/>
      <c r="R78" s="326"/>
      <c r="S78" s="326"/>
      <c r="T78" s="275"/>
      <c r="U78" s="275"/>
      <c r="V78" s="275"/>
      <c r="Y78"/>
      <c r="Z78"/>
      <c r="AA78"/>
    </row>
    <row r="79" spans="1:27" ht="50.1" customHeight="1" thickTop="1">
      <c r="A79" s="3157" t="s">
        <v>0</v>
      </c>
      <c r="B79" s="3158"/>
      <c r="C79" s="3159"/>
      <c r="D79" s="3191" t="s">
        <v>999</v>
      </c>
      <c r="E79" s="3192" t="s">
        <v>1000</v>
      </c>
      <c r="F79" s="3162">
        <f>SUM(F80:F88)</f>
        <v>146249</v>
      </c>
      <c r="G79" s="3163">
        <f>SUM(G80:G89)</f>
        <v>193025</v>
      </c>
      <c r="H79" s="3164">
        <f>SUM(H80:H89)</f>
        <v>339274</v>
      </c>
      <c r="I79" s="3162">
        <f>SUM(I80:I88)</f>
        <v>0</v>
      </c>
      <c r="J79" s="3163">
        <f>SUM(J80:J89)</f>
        <v>55000</v>
      </c>
      <c r="K79" s="3165">
        <f>SUM(K80:K89)</f>
        <v>55000</v>
      </c>
      <c r="L79" s="345">
        <f>'Rashodi i izdaci-poseban dio'!W354</f>
        <v>1200000</v>
      </c>
      <c r="M79" s="330">
        <f>L79-H79</f>
        <v>860726</v>
      </c>
      <c r="N79" s="330"/>
      <c r="O79" s="330"/>
      <c r="P79" s="330"/>
      <c r="Q79" s="330"/>
      <c r="R79" s="330"/>
      <c r="S79" s="330"/>
      <c r="T79" s="274">
        <f>'[13]BUDŽET 2021'!$N$882</f>
        <v>254264.48</v>
      </c>
      <c r="U79" s="274">
        <f>'[14]BUDŽET 2021'!$N$882</f>
        <v>166249.48000000001</v>
      </c>
      <c r="V79" s="274">
        <f>'[13]BUDŽET 2021'!$N$883</f>
        <v>88015</v>
      </c>
      <c r="Y79"/>
      <c r="Z79"/>
      <c r="AA79"/>
    </row>
    <row r="80" spans="1:27" ht="50.1" customHeight="1">
      <c r="A80" s="3117">
        <v>1</v>
      </c>
      <c r="B80" s="3169">
        <v>821614</v>
      </c>
      <c r="C80" s="3127"/>
      <c r="D80" s="3076" t="s">
        <v>1001</v>
      </c>
      <c r="E80" s="3120" t="s">
        <v>1000</v>
      </c>
      <c r="F80" s="3078">
        <v>30000</v>
      </c>
      <c r="G80" s="3083"/>
      <c r="H80" s="3170">
        <f>F80+G80</f>
        <v>30000</v>
      </c>
      <c r="I80" s="3080"/>
      <c r="J80" s="1332"/>
      <c r="K80" s="3171">
        <f>I80+J80</f>
        <v>0</v>
      </c>
      <c r="L80" s="345">
        <f t="shared" si="10"/>
        <v>0</v>
      </c>
      <c r="M80" s="331"/>
      <c r="N80" s="331"/>
      <c r="O80" s="331"/>
      <c r="P80" s="331"/>
      <c r="Q80" s="331"/>
      <c r="R80" s="331"/>
      <c r="S80" s="331"/>
      <c r="T80" s="275"/>
      <c r="U80" s="275"/>
      <c r="V80" s="275"/>
      <c r="Y80"/>
      <c r="Z80"/>
      <c r="AA80"/>
    </row>
    <row r="81" spans="1:27" s="335" customFormat="1" ht="50.1" customHeight="1">
      <c r="A81" s="3117">
        <v>2</v>
      </c>
      <c r="B81" s="3169"/>
      <c r="C81" s="3127"/>
      <c r="D81" s="3172" t="s">
        <v>1195</v>
      </c>
      <c r="E81" s="3120" t="s">
        <v>1000</v>
      </c>
      <c r="F81" s="3078">
        <v>38000</v>
      </c>
      <c r="G81" s="3083">
        <v>28015</v>
      </c>
      <c r="H81" s="3170">
        <f t="shared" ref="H81:H87" si="11">F81+G81</f>
        <v>66015</v>
      </c>
      <c r="I81" s="3080"/>
      <c r="J81" s="1332">
        <v>55000</v>
      </c>
      <c r="K81" s="3171">
        <f t="shared" ref="K81:K87" si="12">I81+J81</f>
        <v>55000</v>
      </c>
      <c r="L81" s="345">
        <f t="shared" si="10"/>
        <v>0</v>
      </c>
      <c r="M81" s="331"/>
      <c r="N81" s="331"/>
      <c r="O81" s="331"/>
      <c r="P81" s="331"/>
      <c r="Q81" s="331"/>
      <c r="R81" s="331"/>
      <c r="S81" s="331"/>
      <c r="T81" s="334"/>
      <c r="U81" s="334"/>
      <c r="V81" s="334"/>
      <c r="W81" s="334"/>
      <c r="X81" s="334"/>
    </row>
    <row r="82" spans="1:27" ht="50.1" customHeight="1">
      <c r="A82" s="3117">
        <v>3</v>
      </c>
      <c r="B82" s="3169">
        <v>821614</v>
      </c>
      <c r="C82" s="3127"/>
      <c r="D82" s="3172" t="s">
        <v>1002</v>
      </c>
      <c r="E82" s="3120" t="s">
        <v>1000</v>
      </c>
      <c r="F82" s="3078">
        <v>5002</v>
      </c>
      <c r="G82" s="3083"/>
      <c r="H82" s="3170">
        <f t="shared" si="11"/>
        <v>5002</v>
      </c>
      <c r="I82" s="3080"/>
      <c r="J82" s="1332"/>
      <c r="K82" s="3171">
        <f t="shared" si="12"/>
        <v>0</v>
      </c>
      <c r="L82" s="345">
        <f t="shared" si="10"/>
        <v>0</v>
      </c>
      <c r="M82" s="331"/>
      <c r="N82" s="331"/>
      <c r="O82" s="331"/>
      <c r="P82" s="331"/>
      <c r="Q82" s="331"/>
      <c r="R82" s="331"/>
      <c r="S82" s="331"/>
      <c r="T82" s="275"/>
      <c r="U82" s="275"/>
      <c r="V82" s="275"/>
      <c r="Y82"/>
      <c r="Z82"/>
      <c r="AA82"/>
    </row>
    <row r="83" spans="1:27" ht="50.1" customHeight="1">
      <c r="A83" s="3117">
        <v>4</v>
      </c>
      <c r="B83" s="3169">
        <v>821513</v>
      </c>
      <c r="C83" s="3127"/>
      <c r="D83" s="3193" t="s">
        <v>1003</v>
      </c>
      <c r="E83" s="3120" t="s">
        <v>1000</v>
      </c>
      <c r="F83" s="3078">
        <v>9306</v>
      </c>
      <c r="G83" s="3083"/>
      <c r="H83" s="3170">
        <f t="shared" si="11"/>
        <v>9306</v>
      </c>
      <c r="I83" s="3080"/>
      <c r="J83" s="1332"/>
      <c r="K83" s="3171">
        <f t="shared" si="12"/>
        <v>0</v>
      </c>
      <c r="L83" s="345">
        <f t="shared" si="10"/>
        <v>0</v>
      </c>
      <c r="M83" s="331"/>
      <c r="N83" s="331"/>
      <c r="O83" s="331"/>
      <c r="P83" s="331"/>
      <c r="Q83" s="331"/>
      <c r="R83" s="331"/>
      <c r="S83" s="331"/>
      <c r="T83" s="275"/>
      <c r="U83" s="275"/>
      <c r="V83" s="275"/>
      <c r="Y83"/>
      <c r="Z83"/>
      <c r="AA83"/>
    </row>
    <row r="84" spans="1:27" ht="50.1" customHeight="1">
      <c r="A84" s="3117">
        <v>5</v>
      </c>
      <c r="B84" s="3194"/>
      <c r="C84" s="3127"/>
      <c r="D84" s="3193" t="s">
        <v>1280</v>
      </c>
      <c r="E84" s="3120" t="s">
        <v>1000</v>
      </c>
      <c r="F84" s="3078"/>
      <c r="G84" s="3083"/>
      <c r="H84" s="3170">
        <f t="shared" si="11"/>
        <v>0</v>
      </c>
      <c r="I84" s="3080"/>
      <c r="J84" s="1332"/>
      <c r="K84" s="3171">
        <f t="shared" si="12"/>
        <v>0</v>
      </c>
      <c r="L84" s="345">
        <f t="shared" si="10"/>
        <v>0</v>
      </c>
      <c r="M84" s="331"/>
      <c r="N84" s="331"/>
      <c r="O84" s="331"/>
      <c r="P84" s="331"/>
      <c r="Q84" s="331"/>
      <c r="R84" s="331"/>
      <c r="S84" s="331"/>
      <c r="T84" s="275"/>
      <c r="U84" s="275"/>
      <c r="V84" s="275"/>
      <c r="Y84"/>
      <c r="Z84"/>
      <c r="AA84"/>
    </row>
    <row r="85" spans="1:27" ht="50.1" customHeight="1">
      <c r="A85" s="3117">
        <v>6</v>
      </c>
      <c r="B85" s="3169">
        <v>821222</v>
      </c>
      <c r="C85" s="3127"/>
      <c r="D85" s="3195" t="s">
        <v>1004</v>
      </c>
      <c r="E85" s="3120" t="s">
        <v>1000</v>
      </c>
      <c r="F85" s="3078">
        <v>13941</v>
      </c>
      <c r="G85" s="3083">
        <v>30367</v>
      </c>
      <c r="H85" s="3170">
        <f t="shared" si="11"/>
        <v>44308</v>
      </c>
      <c r="I85" s="3080"/>
      <c r="J85" s="1332"/>
      <c r="K85" s="3171">
        <f t="shared" si="12"/>
        <v>0</v>
      </c>
      <c r="L85" s="345">
        <f t="shared" si="10"/>
        <v>0</v>
      </c>
      <c r="M85" s="331"/>
      <c r="N85" s="331"/>
      <c r="O85" s="331"/>
      <c r="P85" s="331"/>
      <c r="Q85" s="331"/>
      <c r="R85" s="331"/>
      <c r="S85" s="331"/>
      <c r="T85" s="275"/>
      <c r="U85" s="275"/>
      <c r="V85" s="275"/>
      <c r="Y85"/>
      <c r="Z85"/>
      <c r="AA85"/>
    </row>
    <row r="86" spans="1:27" ht="50.1" customHeight="1">
      <c r="A86" s="3117">
        <v>7</v>
      </c>
      <c r="B86" s="3169">
        <v>821222</v>
      </c>
      <c r="C86" s="3127"/>
      <c r="D86" s="3195" t="s">
        <v>1005</v>
      </c>
      <c r="E86" s="3120" t="s">
        <v>1000</v>
      </c>
      <c r="F86" s="3078">
        <v>50000</v>
      </c>
      <c r="G86" s="3083">
        <v>20000</v>
      </c>
      <c r="H86" s="3170">
        <f t="shared" si="11"/>
        <v>70000</v>
      </c>
      <c r="I86" s="3080"/>
      <c r="J86" s="1332"/>
      <c r="K86" s="3171">
        <f t="shared" si="12"/>
        <v>0</v>
      </c>
      <c r="L86" s="345">
        <f t="shared" si="10"/>
        <v>0</v>
      </c>
      <c r="M86" s="331"/>
      <c r="N86" s="331"/>
      <c r="O86" s="331"/>
      <c r="P86" s="331"/>
      <c r="Q86" s="331"/>
      <c r="R86" s="331"/>
      <c r="S86" s="331"/>
      <c r="T86" s="275"/>
      <c r="U86" s="275"/>
      <c r="V86" s="275"/>
      <c r="Y86"/>
      <c r="Z86"/>
      <c r="AA86"/>
    </row>
    <row r="87" spans="1:27" ht="50.1" customHeight="1">
      <c r="A87" s="3117">
        <v>8</v>
      </c>
      <c r="B87" s="3176"/>
      <c r="C87" s="3196"/>
      <c r="D87" s="3197" t="s">
        <v>1196</v>
      </c>
      <c r="E87" s="3173" t="s">
        <v>1000</v>
      </c>
      <c r="F87" s="3078"/>
      <c r="G87" s="3083">
        <v>4833</v>
      </c>
      <c r="H87" s="3170">
        <f t="shared" si="11"/>
        <v>4833</v>
      </c>
      <c r="I87" s="3080"/>
      <c r="J87" s="1332"/>
      <c r="K87" s="3171">
        <f t="shared" si="12"/>
        <v>0</v>
      </c>
      <c r="L87" s="345">
        <f t="shared" si="10"/>
        <v>0</v>
      </c>
      <c r="M87" s="331"/>
      <c r="N87" s="331"/>
      <c r="O87" s="331"/>
      <c r="P87" s="331"/>
      <c r="Q87" s="331"/>
      <c r="R87" s="331"/>
      <c r="S87" s="331"/>
      <c r="T87" s="275"/>
      <c r="U87" s="275"/>
      <c r="V87" s="275"/>
      <c r="Y87"/>
      <c r="Z87"/>
      <c r="AA87"/>
    </row>
    <row r="88" spans="1:27" ht="50.1" customHeight="1">
      <c r="A88" s="3185">
        <v>9</v>
      </c>
      <c r="B88" s="3198"/>
      <c r="C88" s="3136"/>
      <c r="D88" s="3197" t="s">
        <v>1197</v>
      </c>
      <c r="E88" s="3173" t="s">
        <v>1000</v>
      </c>
      <c r="F88" s="3078"/>
      <c r="G88" s="3095">
        <v>4800</v>
      </c>
      <c r="H88" s="3174">
        <f>F88+G88</f>
        <v>4800</v>
      </c>
      <c r="I88" s="3080"/>
      <c r="J88" s="1332"/>
      <c r="K88" s="3175">
        <f>I88+J88</f>
        <v>0</v>
      </c>
      <c r="L88" s="345">
        <f t="shared" si="10"/>
        <v>0</v>
      </c>
      <c r="M88" s="331"/>
      <c r="N88" s="331"/>
      <c r="O88" s="331"/>
      <c r="P88" s="331"/>
      <c r="Q88" s="331"/>
      <c r="R88" s="331"/>
      <c r="S88" s="331"/>
      <c r="T88" s="275"/>
      <c r="U88" s="275"/>
      <c r="V88" s="275"/>
      <c r="Y88"/>
      <c r="Z88"/>
      <c r="AA88"/>
    </row>
    <row r="89" spans="1:27" s="335" customFormat="1" ht="50.1" customHeight="1" thickBot="1">
      <c r="A89" s="3141">
        <v>10</v>
      </c>
      <c r="B89" s="3199"/>
      <c r="C89" s="3143"/>
      <c r="D89" s="3200" t="s">
        <v>1288</v>
      </c>
      <c r="E89" s="3201" t="s">
        <v>1000</v>
      </c>
      <c r="F89" s="3202"/>
      <c r="G89" s="3203">
        <v>105010</v>
      </c>
      <c r="H89" s="3204">
        <f>F89+G89</f>
        <v>105010</v>
      </c>
      <c r="I89" s="3205"/>
      <c r="J89" s="1443"/>
      <c r="K89" s="3203">
        <f>I89+J89</f>
        <v>0</v>
      </c>
      <c r="L89" s="345">
        <f t="shared" si="10"/>
        <v>0</v>
      </c>
      <c r="M89" s="331">
        <f>M79-G79</f>
        <v>667701</v>
      </c>
      <c r="N89" s="331">
        <f>M89+G89</f>
        <v>772711</v>
      </c>
      <c r="O89" s="331"/>
      <c r="P89" s="331"/>
      <c r="Q89" s="331"/>
      <c r="R89" s="331"/>
      <c r="S89" s="331"/>
      <c r="T89" s="334"/>
      <c r="U89" s="334"/>
      <c r="V89" s="334"/>
      <c r="W89" s="334"/>
      <c r="X89" s="334"/>
    </row>
    <row r="90" spans="1:27" ht="50.1" customHeight="1" thickTop="1" thickBot="1">
      <c r="A90" s="3151"/>
      <c r="B90" s="3152"/>
      <c r="C90" s="3153"/>
      <c r="D90" s="3154"/>
      <c r="E90" s="3155"/>
      <c r="F90" s="3156"/>
      <c r="G90" s="3156"/>
      <c r="H90" s="3156"/>
      <c r="I90" s="3112"/>
      <c r="J90" s="3112"/>
      <c r="K90" s="3156"/>
      <c r="L90" s="345">
        <f t="shared" si="10"/>
        <v>0</v>
      </c>
      <c r="M90" s="326"/>
      <c r="N90" s="326"/>
      <c r="O90" s="326"/>
      <c r="P90" s="326"/>
      <c r="Q90" s="326"/>
      <c r="R90" s="326"/>
      <c r="S90" s="326"/>
      <c r="T90" s="275"/>
      <c r="U90" s="275"/>
      <c r="V90" s="275"/>
      <c r="Y90"/>
      <c r="Z90"/>
      <c r="AA90"/>
    </row>
    <row r="91" spans="1:27" ht="50.1" customHeight="1" thickTop="1">
      <c r="A91" s="3157" t="s">
        <v>0</v>
      </c>
      <c r="B91" s="3158"/>
      <c r="C91" s="3159"/>
      <c r="D91" s="3206" t="s">
        <v>1006</v>
      </c>
      <c r="E91" s="3207" t="s">
        <v>1007</v>
      </c>
      <c r="F91" s="3162">
        <f t="shared" ref="F91:H91" si="13">SUM(F96:F118)</f>
        <v>949482.52</v>
      </c>
      <c r="G91" s="3163">
        <f>SUM(G96:G118)</f>
        <v>1285113</v>
      </c>
      <c r="H91" s="3164">
        <f t="shared" si="13"/>
        <v>2234595.52</v>
      </c>
      <c r="I91" s="3162">
        <f t="shared" ref="I91" si="14">SUM(I96:I118)</f>
        <v>0</v>
      </c>
      <c r="J91" s="3163">
        <f>SUM(J92:J118)</f>
        <v>1200000</v>
      </c>
      <c r="K91" s="3165">
        <f>SUM(K92:K118)</f>
        <v>1200000</v>
      </c>
      <c r="L91" s="345">
        <f>'Rashodi i izdaci-poseban dio'!W359</f>
        <v>570000</v>
      </c>
      <c r="M91" s="330">
        <f>L91-H91</f>
        <v>-1664595.52</v>
      </c>
      <c r="N91" s="330">
        <f>G91+'GP KAPITA GRA'!E8</f>
        <v>1550113</v>
      </c>
      <c r="O91" s="330"/>
      <c r="P91" s="330"/>
      <c r="Q91" s="330"/>
      <c r="R91" s="330"/>
      <c r="S91" s="330"/>
      <c r="T91" s="274">
        <f>'[13]BUDŽET 2021'!$N$886</f>
        <v>2474552.7800000003</v>
      </c>
      <c r="U91" s="274">
        <f>'[14]BUDŽET 2021'!$N$886</f>
        <v>949482.78</v>
      </c>
      <c r="V91" s="274">
        <f>'[13]BUDŽET 2021'!$N$887</f>
        <v>1525070</v>
      </c>
      <c r="Y91"/>
      <c r="Z91"/>
      <c r="AA91"/>
    </row>
    <row r="92" spans="1:27" ht="50.1" customHeight="1">
      <c r="A92" s="3208">
        <v>1</v>
      </c>
      <c r="B92" s="3209"/>
      <c r="C92" s="3119"/>
      <c r="D92" s="3210" t="s">
        <v>1693</v>
      </c>
      <c r="E92" s="3211" t="s">
        <v>1007</v>
      </c>
      <c r="F92" s="3122"/>
      <c r="G92" s="3167"/>
      <c r="H92" s="3121"/>
      <c r="I92" s="3122"/>
      <c r="J92" s="3123"/>
      <c r="K92" s="3171">
        <f t="shared" ref="K92:K104" si="15">I92+J92</f>
        <v>0</v>
      </c>
      <c r="L92" s="345"/>
      <c r="M92" s="330">
        <f>1200000-J91</f>
        <v>0</v>
      </c>
      <c r="N92" s="330"/>
      <c r="O92" s="330"/>
      <c r="P92" s="330"/>
      <c r="Q92" s="330"/>
      <c r="R92" s="330"/>
      <c r="S92" s="330"/>
      <c r="T92" s="274"/>
      <c r="U92" s="274"/>
      <c r="V92" s="274"/>
      <c r="Y92"/>
      <c r="Z92"/>
      <c r="AA92"/>
    </row>
    <row r="93" spans="1:27" ht="50.1" customHeight="1">
      <c r="A93" s="3208">
        <v>2</v>
      </c>
      <c r="B93" s="3209"/>
      <c r="C93" s="3119"/>
      <c r="D93" s="3210" t="s">
        <v>1694</v>
      </c>
      <c r="E93" s="3211" t="s">
        <v>1007</v>
      </c>
      <c r="F93" s="3122"/>
      <c r="G93" s="3167"/>
      <c r="H93" s="3121"/>
      <c r="I93" s="3122"/>
      <c r="J93" s="3123"/>
      <c r="K93" s="3171">
        <f t="shared" si="15"/>
        <v>0</v>
      </c>
      <c r="L93" s="345"/>
      <c r="M93" s="330"/>
      <c r="N93" s="330"/>
      <c r="O93" s="330"/>
      <c r="P93" s="330"/>
      <c r="Q93" s="330"/>
      <c r="R93" s="330"/>
      <c r="S93" s="330"/>
      <c r="T93" s="274"/>
      <c r="U93" s="274"/>
      <c r="V93" s="274"/>
      <c r="Y93"/>
      <c r="Z93"/>
      <c r="AA93"/>
    </row>
    <row r="94" spans="1:27" ht="50.1" customHeight="1">
      <c r="A94" s="3208">
        <v>3</v>
      </c>
      <c r="B94" s="3209"/>
      <c r="C94" s="3119"/>
      <c r="D94" s="3210" t="s">
        <v>1695</v>
      </c>
      <c r="E94" s="3211" t="s">
        <v>1007</v>
      </c>
      <c r="F94" s="3122"/>
      <c r="G94" s="3167"/>
      <c r="H94" s="3121"/>
      <c r="I94" s="3122"/>
      <c r="J94" s="3123"/>
      <c r="K94" s="3171">
        <f t="shared" si="15"/>
        <v>0</v>
      </c>
      <c r="L94" s="345"/>
      <c r="M94" s="330"/>
      <c r="N94" s="330"/>
      <c r="O94" s="330"/>
      <c r="P94" s="330"/>
      <c r="Q94" s="330"/>
      <c r="R94" s="330"/>
      <c r="S94" s="330"/>
      <c r="T94" s="274"/>
      <c r="U94" s="274"/>
      <c r="V94" s="274"/>
      <c r="Y94"/>
      <c r="Z94"/>
      <c r="AA94"/>
    </row>
    <row r="95" spans="1:27" ht="50.1" customHeight="1">
      <c r="A95" s="3208">
        <v>4</v>
      </c>
      <c r="B95" s="3209"/>
      <c r="C95" s="3119"/>
      <c r="D95" s="3210" t="s">
        <v>1696</v>
      </c>
      <c r="E95" s="3211" t="s">
        <v>1007</v>
      </c>
      <c r="F95" s="3122"/>
      <c r="G95" s="3167"/>
      <c r="H95" s="3121"/>
      <c r="I95" s="3122"/>
      <c r="J95" s="3123"/>
      <c r="K95" s="3171">
        <f t="shared" si="15"/>
        <v>0</v>
      </c>
      <c r="L95" s="345"/>
      <c r="M95" s="330"/>
      <c r="N95" s="330"/>
      <c r="O95" s="330"/>
      <c r="P95" s="330"/>
      <c r="Q95" s="330"/>
      <c r="R95" s="330"/>
      <c r="S95" s="330"/>
      <c r="T95" s="274"/>
      <c r="U95" s="274"/>
      <c r="V95" s="274"/>
      <c r="Y95"/>
      <c r="Z95"/>
      <c r="AA95"/>
    </row>
    <row r="96" spans="1:27" s="335" customFormat="1" ht="50.1" customHeight="1">
      <c r="A96" s="3208">
        <v>5</v>
      </c>
      <c r="B96" s="3212">
        <v>821513</v>
      </c>
      <c r="C96" s="3127"/>
      <c r="D96" s="3213" t="s">
        <v>1008</v>
      </c>
      <c r="E96" s="3211" t="s">
        <v>1007</v>
      </c>
      <c r="F96" s="3078">
        <v>25420</v>
      </c>
      <c r="G96" s="3214">
        <v>10000</v>
      </c>
      <c r="H96" s="3170">
        <f>F96+G96</f>
        <v>35420</v>
      </c>
      <c r="I96" s="3080"/>
      <c r="J96" s="3129"/>
      <c r="K96" s="3171">
        <f t="shared" si="15"/>
        <v>0</v>
      </c>
      <c r="L96" s="345">
        <f t="shared" si="10"/>
        <v>0</v>
      </c>
      <c r="M96" s="331"/>
      <c r="N96" s="331"/>
      <c r="O96" s="331"/>
      <c r="P96" s="331"/>
      <c r="Q96" s="331"/>
      <c r="R96" s="331"/>
      <c r="S96" s="331"/>
      <c r="T96" s="336" t="e">
        <f>#REF!-T91</f>
        <v>#REF!</v>
      </c>
      <c r="U96" s="334"/>
      <c r="V96" s="334"/>
      <c r="W96" s="334"/>
      <c r="X96" s="334"/>
    </row>
    <row r="97" spans="1:24" s="335" customFormat="1" ht="50.1" customHeight="1">
      <c r="A97" s="3208">
        <v>6</v>
      </c>
      <c r="B97" s="3212"/>
      <c r="C97" s="3127"/>
      <c r="D97" s="3213" t="s">
        <v>1198</v>
      </c>
      <c r="E97" s="3211" t="s">
        <v>1007</v>
      </c>
      <c r="F97" s="3078"/>
      <c r="G97" s="3214">
        <v>248300</v>
      </c>
      <c r="H97" s="3170">
        <f>F97+G97</f>
        <v>248300</v>
      </c>
      <c r="I97" s="3080"/>
      <c r="J97" s="3129">
        <v>750000</v>
      </c>
      <c r="K97" s="3171">
        <f t="shared" si="15"/>
        <v>750000</v>
      </c>
      <c r="L97" s="345">
        <f t="shared" si="10"/>
        <v>0</v>
      </c>
      <c r="M97" s="331">
        <f>G91+265000</f>
        <v>1550113</v>
      </c>
      <c r="N97" s="331"/>
      <c r="O97" s="331"/>
      <c r="P97" s="331"/>
      <c r="Q97" s="331"/>
      <c r="R97" s="331"/>
      <c r="S97" s="331"/>
      <c r="T97" s="334"/>
      <c r="U97" s="334"/>
      <c r="V97" s="334"/>
      <c r="W97" s="334"/>
      <c r="X97" s="334"/>
    </row>
    <row r="98" spans="1:24" s="335" customFormat="1" ht="50.1" customHeight="1">
      <c r="A98" s="3208">
        <v>7</v>
      </c>
      <c r="B98" s="3212"/>
      <c r="C98" s="3127"/>
      <c r="D98" s="3213" t="s">
        <v>1341</v>
      </c>
      <c r="E98" s="3215"/>
      <c r="F98" s="3078"/>
      <c r="G98" s="3216">
        <v>26700</v>
      </c>
      <c r="H98" s="3170">
        <f>F98+G98</f>
        <v>26700</v>
      </c>
      <c r="I98" s="3080"/>
      <c r="J98" s="3129"/>
      <c r="K98" s="3171">
        <f t="shared" si="15"/>
        <v>0</v>
      </c>
      <c r="L98" s="345"/>
      <c r="M98" s="331"/>
      <c r="N98" s="331"/>
      <c r="O98" s="331"/>
      <c r="P98" s="331"/>
      <c r="Q98" s="331"/>
      <c r="R98" s="331"/>
      <c r="S98" s="331"/>
      <c r="T98" s="334"/>
      <c r="U98" s="334"/>
      <c r="V98" s="334"/>
      <c r="W98" s="334"/>
      <c r="X98" s="334"/>
    </row>
    <row r="99" spans="1:24" s="335" customFormat="1" ht="50.1" customHeight="1">
      <c r="A99" s="3208">
        <v>8</v>
      </c>
      <c r="B99" s="3212">
        <v>821224</v>
      </c>
      <c r="C99" s="3127"/>
      <c r="D99" s="3217" t="s">
        <v>1009</v>
      </c>
      <c r="E99" s="3211" t="s">
        <v>1007</v>
      </c>
      <c r="F99" s="3078">
        <v>15000</v>
      </c>
      <c r="G99" s="3214"/>
      <c r="H99" s="3170">
        <f>F99+G99</f>
        <v>15000</v>
      </c>
      <c r="I99" s="3080"/>
      <c r="J99" s="3129"/>
      <c r="K99" s="3171">
        <f t="shared" si="15"/>
        <v>0</v>
      </c>
      <c r="L99" s="345">
        <f t="shared" si="10"/>
        <v>0</v>
      </c>
      <c r="M99" s="331"/>
      <c r="N99" s="331"/>
      <c r="O99" s="331"/>
      <c r="P99" s="331"/>
      <c r="Q99" s="331"/>
      <c r="R99" s="331"/>
      <c r="S99" s="331"/>
      <c r="T99" s="334"/>
      <c r="U99" s="334"/>
      <c r="V99" s="334"/>
      <c r="W99" s="334"/>
      <c r="X99" s="334"/>
    </row>
    <row r="100" spans="1:24" s="335" customFormat="1" ht="50.1" customHeight="1">
      <c r="A100" s="3208">
        <v>9</v>
      </c>
      <c r="B100" s="3212">
        <v>821612</v>
      </c>
      <c r="C100" s="3218"/>
      <c r="D100" s="3213" t="s">
        <v>1010</v>
      </c>
      <c r="E100" s="3211" t="s">
        <v>1007</v>
      </c>
      <c r="F100" s="3078">
        <v>15000</v>
      </c>
      <c r="G100" s="3214"/>
      <c r="H100" s="3170">
        <f t="shared" ref="H100:H110" si="16">F100+G100</f>
        <v>15000</v>
      </c>
      <c r="I100" s="3080"/>
      <c r="J100" s="3129"/>
      <c r="K100" s="3171">
        <f t="shared" si="15"/>
        <v>0</v>
      </c>
      <c r="L100" s="345">
        <f t="shared" si="10"/>
        <v>0</v>
      </c>
      <c r="M100" s="331"/>
      <c r="N100" s="331"/>
      <c r="O100" s="331"/>
      <c r="P100" s="331"/>
      <c r="Q100" s="331"/>
      <c r="R100" s="331"/>
      <c r="S100" s="331"/>
      <c r="T100" s="334"/>
      <c r="U100" s="334"/>
      <c r="V100" s="334"/>
      <c r="W100" s="334"/>
      <c r="X100" s="334"/>
    </row>
    <row r="101" spans="1:24" s="335" customFormat="1" ht="50.1" customHeight="1">
      <c r="A101" s="3208">
        <v>10</v>
      </c>
      <c r="B101" s="3212">
        <v>821612</v>
      </c>
      <c r="C101" s="3127"/>
      <c r="D101" s="3219" t="s">
        <v>1692</v>
      </c>
      <c r="E101" s="3211" t="s">
        <v>1007</v>
      </c>
      <c r="F101" s="3078">
        <v>21758</v>
      </c>
      <c r="G101" s="3220"/>
      <c r="H101" s="3170">
        <f t="shared" si="16"/>
        <v>21758</v>
      </c>
      <c r="I101" s="3080"/>
      <c r="J101" s="1332"/>
      <c r="K101" s="3171">
        <f t="shared" si="15"/>
        <v>0</v>
      </c>
      <c r="L101" s="345">
        <f t="shared" si="10"/>
        <v>0</v>
      </c>
      <c r="M101" s="331">
        <f>J105+J101</f>
        <v>0</v>
      </c>
      <c r="N101" s="331"/>
      <c r="O101" s="331"/>
      <c r="P101" s="331"/>
      <c r="Q101" s="331"/>
      <c r="R101" s="331"/>
      <c r="S101" s="331"/>
      <c r="T101" s="334"/>
      <c r="U101" s="334"/>
      <c r="V101" s="334"/>
      <c r="W101" s="334"/>
      <c r="X101" s="334"/>
    </row>
    <row r="102" spans="1:24" s="335" customFormat="1" ht="50.1" customHeight="1">
      <c r="A102" s="3208">
        <v>11</v>
      </c>
      <c r="B102" s="3212">
        <v>821513</v>
      </c>
      <c r="C102" s="3127"/>
      <c r="D102" s="3219" t="s">
        <v>1011</v>
      </c>
      <c r="E102" s="3211" t="s">
        <v>1012</v>
      </c>
      <c r="F102" s="3078">
        <v>243170</v>
      </c>
      <c r="G102" s="3220"/>
      <c r="H102" s="3170">
        <f t="shared" si="16"/>
        <v>243170</v>
      </c>
      <c r="I102" s="3080"/>
      <c r="J102" s="1320"/>
      <c r="K102" s="3171">
        <f t="shared" si="15"/>
        <v>0</v>
      </c>
      <c r="L102" s="345">
        <f t="shared" si="10"/>
        <v>0</v>
      </c>
      <c r="M102" s="331"/>
      <c r="N102" s="331"/>
      <c r="O102" s="331"/>
      <c r="P102" s="331"/>
      <c r="Q102" s="331"/>
      <c r="R102" s="331"/>
      <c r="S102" s="331"/>
      <c r="T102" s="334"/>
      <c r="U102" s="334"/>
      <c r="V102" s="334"/>
      <c r="W102" s="334"/>
      <c r="X102" s="334"/>
    </row>
    <row r="103" spans="1:24" s="335" customFormat="1" ht="50.1" customHeight="1">
      <c r="A103" s="3208">
        <v>12</v>
      </c>
      <c r="B103" s="3212"/>
      <c r="C103" s="3127"/>
      <c r="D103" s="3219" t="s">
        <v>1013</v>
      </c>
      <c r="E103" s="3211" t="s">
        <v>1007</v>
      </c>
      <c r="F103" s="3078">
        <v>7085</v>
      </c>
      <c r="G103" s="3083">
        <v>4537</v>
      </c>
      <c r="H103" s="3170">
        <f t="shared" si="16"/>
        <v>11622</v>
      </c>
      <c r="I103" s="3080"/>
      <c r="J103" s="1332"/>
      <c r="K103" s="3171">
        <f t="shared" si="15"/>
        <v>0</v>
      </c>
      <c r="L103" s="345">
        <f t="shared" si="10"/>
        <v>0</v>
      </c>
      <c r="M103" s="331"/>
      <c r="N103" s="331"/>
      <c r="O103" s="331"/>
      <c r="P103" s="331"/>
      <c r="Q103" s="331"/>
      <c r="R103" s="331"/>
      <c r="S103" s="331"/>
      <c r="T103" s="334"/>
      <c r="U103" s="334"/>
      <c r="V103" s="334"/>
      <c r="W103" s="334"/>
      <c r="X103" s="334"/>
    </row>
    <row r="104" spans="1:24" s="335" customFormat="1" ht="50.1" customHeight="1">
      <c r="A104" s="3208">
        <v>13</v>
      </c>
      <c r="B104" s="3212">
        <v>821612</v>
      </c>
      <c r="C104" s="3127"/>
      <c r="D104" s="3219" t="s">
        <v>1014</v>
      </c>
      <c r="E104" s="3211" t="s">
        <v>1007</v>
      </c>
      <c r="F104" s="3078">
        <v>200000</v>
      </c>
      <c r="G104" s="3083"/>
      <c r="H104" s="3170">
        <f t="shared" si="16"/>
        <v>200000</v>
      </c>
      <c r="I104" s="3080"/>
      <c r="J104" s="1332">
        <v>300000</v>
      </c>
      <c r="K104" s="3171">
        <f t="shared" si="15"/>
        <v>300000</v>
      </c>
      <c r="L104" s="345">
        <f t="shared" si="10"/>
        <v>0</v>
      </c>
      <c r="M104" s="331"/>
      <c r="N104" s="331"/>
      <c r="O104" s="331"/>
      <c r="P104" s="331"/>
      <c r="Q104" s="331"/>
      <c r="R104" s="331"/>
      <c r="S104" s="331"/>
      <c r="T104" s="334"/>
      <c r="U104" s="334"/>
      <c r="V104" s="334"/>
      <c r="W104" s="334"/>
      <c r="X104" s="334"/>
    </row>
    <row r="105" spans="1:24" s="335" customFormat="1" ht="50.1" customHeight="1">
      <c r="A105" s="3208">
        <v>14</v>
      </c>
      <c r="B105" s="3212"/>
      <c r="C105" s="3127"/>
      <c r="D105" s="3219" t="s">
        <v>1199</v>
      </c>
      <c r="E105" s="3211" t="s">
        <v>1007</v>
      </c>
      <c r="F105" s="3078"/>
      <c r="G105" s="3083">
        <v>120000</v>
      </c>
      <c r="H105" s="3170">
        <f t="shared" si="16"/>
        <v>120000</v>
      </c>
      <c r="I105" s="3080"/>
      <c r="J105" s="1332"/>
      <c r="K105" s="3171">
        <f t="shared" ref="K105:K110" si="17">I105+J105</f>
        <v>0</v>
      </c>
      <c r="L105" s="345">
        <f t="shared" si="10"/>
        <v>0</v>
      </c>
      <c r="M105" s="331"/>
      <c r="N105" s="331"/>
      <c r="O105" s="331"/>
      <c r="P105" s="331"/>
      <c r="Q105" s="331"/>
      <c r="R105" s="331"/>
      <c r="S105" s="331"/>
      <c r="T105" s="334"/>
      <c r="U105" s="334"/>
      <c r="V105" s="334"/>
      <c r="W105" s="334"/>
      <c r="X105" s="334"/>
    </row>
    <row r="106" spans="1:24" s="335" customFormat="1" ht="50.1" customHeight="1">
      <c r="A106" s="3208">
        <v>15</v>
      </c>
      <c r="B106" s="3212">
        <v>821222</v>
      </c>
      <c r="C106" s="3127"/>
      <c r="D106" s="3219" t="s">
        <v>1015</v>
      </c>
      <c r="E106" s="3211" t="s">
        <v>1007</v>
      </c>
      <c r="F106" s="3078">
        <v>94411.520000000004</v>
      </c>
      <c r="G106" s="3083"/>
      <c r="H106" s="3170">
        <f t="shared" si="16"/>
        <v>94411.520000000004</v>
      </c>
      <c r="I106" s="3080"/>
      <c r="J106" s="1332"/>
      <c r="K106" s="3171">
        <f t="shared" si="17"/>
        <v>0</v>
      </c>
      <c r="L106" s="345">
        <f t="shared" si="10"/>
        <v>0</v>
      </c>
      <c r="M106" s="331"/>
      <c r="N106" s="331"/>
      <c r="O106" s="331"/>
      <c r="P106" s="331"/>
      <c r="Q106" s="331"/>
      <c r="R106" s="331"/>
      <c r="S106" s="331"/>
      <c r="T106" s="334"/>
      <c r="U106" s="334"/>
      <c r="V106" s="334"/>
      <c r="W106" s="334"/>
      <c r="X106" s="334"/>
    </row>
    <row r="107" spans="1:24" s="335" customFormat="1" ht="50.1" customHeight="1">
      <c r="A107" s="3208">
        <v>16</v>
      </c>
      <c r="B107" s="3212">
        <v>821221</v>
      </c>
      <c r="C107" s="3127"/>
      <c r="D107" s="3219" t="s">
        <v>1016</v>
      </c>
      <c r="E107" s="3211" t="s">
        <v>1007</v>
      </c>
      <c r="F107" s="3078">
        <v>48083</v>
      </c>
      <c r="G107" s="3083">
        <v>150000</v>
      </c>
      <c r="H107" s="3170">
        <f t="shared" si="16"/>
        <v>198083</v>
      </c>
      <c r="I107" s="3080"/>
      <c r="J107" s="1332">
        <v>150000</v>
      </c>
      <c r="K107" s="3171">
        <f t="shared" si="17"/>
        <v>150000</v>
      </c>
      <c r="L107" s="345">
        <f t="shared" si="10"/>
        <v>0</v>
      </c>
      <c r="M107" s="331"/>
      <c r="N107" s="331"/>
      <c r="O107" s="331"/>
      <c r="P107" s="331"/>
      <c r="Q107" s="331"/>
      <c r="R107" s="331"/>
      <c r="S107" s="331"/>
      <c r="T107" s="334"/>
      <c r="U107" s="334"/>
      <c r="V107" s="334"/>
      <c r="W107" s="334"/>
      <c r="X107" s="334"/>
    </row>
    <row r="108" spans="1:24" s="335" customFormat="1" ht="50.1" customHeight="1">
      <c r="A108" s="3208">
        <v>17</v>
      </c>
      <c r="B108" s="3212">
        <v>821612</v>
      </c>
      <c r="C108" s="3127"/>
      <c r="D108" s="3213" t="s">
        <v>1017</v>
      </c>
      <c r="E108" s="3211" t="s">
        <v>1007</v>
      </c>
      <c r="F108" s="3078">
        <v>87605</v>
      </c>
      <c r="G108" s="3083"/>
      <c r="H108" s="3170">
        <f t="shared" si="16"/>
        <v>87605</v>
      </c>
      <c r="I108" s="3080"/>
      <c r="J108" s="1332"/>
      <c r="K108" s="3171">
        <f t="shared" si="17"/>
        <v>0</v>
      </c>
      <c r="L108" s="345">
        <f t="shared" si="10"/>
        <v>0</v>
      </c>
      <c r="M108" s="331"/>
      <c r="N108" s="331"/>
      <c r="O108" s="331"/>
      <c r="P108" s="331"/>
      <c r="Q108" s="331"/>
      <c r="R108" s="331"/>
      <c r="S108" s="331"/>
      <c r="T108" s="334"/>
      <c r="U108" s="334"/>
      <c r="V108" s="334"/>
      <c r="W108" s="334"/>
      <c r="X108" s="334"/>
    </row>
    <row r="109" spans="1:24" s="335" customFormat="1" ht="50.1" customHeight="1">
      <c r="A109" s="3208">
        <v>18</v>
      </c>
      <c r="B109" s="3212">
        <v>821222</v>
      </c>
      <c r="C109" s="3127"/>
      <c r="D109" s="3221" t="s">
        <v>1018</v>
      </c>
      <c r="E109" s="3211" t="s">
        <v>1007</v>
      </c>
      <c r="F109" s="3078">
        <v>7000</v>
      </c>
      <c r="G109" s="3083">
        <v>8000</v>
      </c>
      <c r="H109" s="3170">
        <f t="shared" si="16"/>
        <v>15000</v>
      </c>
      <c r="I109" s="3080"/>
      <c r="J109" s="1332"/>
      <c r="K109" s="3171">
        <f t="shared" si="17"/>
        <v>0</v>
      </c>
      <c r="L109" s="345">
        <f t="shared" si="10"/>
        <v>0</v>
      </c>
      <c r="M109" s="331"/>
      <c r="N109" s="331"/>
      <c r="O109" s="331"/>
      <c r="P109" s="331"/>
      <c r="Q109" s="331"/>
      <c r="R109" s="331"/>
      <c r="S109" s="331"/>
      <c r="T109" s="334"/>
      <c r="U109" s="334"/>
      <c r="V109" s="334"/>
      <c r="W109" s="334"/>
      <c r="X109" s="334"/>
    </row>
    <row r="110" spans="1:24" s="335" customFormat="1" ht="50.1" customHeight="1">
      <c r="A110" s="3208">
        <v>19</v>
      </c>
      <c r="B110" s="3212">
        <v>821621</v>
      </c>
      <c r="C110" s="3127"/>
      <c r="D110" s="3213" t="s">
        <v>1019</v>
      </c>
      <c r="E110" s="3211" t="s">
        <v>1007</v>
      </c>
      <c r="F110" s="3078">
        <v>40000</v>
      </c>
      <c r="G110" s="3083"/>
      <c r="H110" s="3170">
        <f t="shared" si="16"/>
        <v>40000</v>
      </c>
      <c r="I110" s="3080"/>
      <c r="J110" s="1332"/>
      <c r="K110" s="3171">
        <f t="shared" si="17"/>
        <v>0</v>
      </c>
      <c r="L110" s="345">
        <f t="shared" si="10"/>
        <v>0</v>
      </c>
      <c r="M110" s="331"/>
      <c r="N110" s="331"/>
      <c r="O110" s="331"/>
      <c r="P110" s="331"/>
      <c r="Q110" s="331"/>
      <c r="R110" s="331"/>
      <c r="S110" s="331"/>
      <c r="T110" s="334"/>
      <c r="U110" s="334"/>
      <c r="V110" s="334"/>
      <c r="W110" s="334"/>
      <c r="X110" s="334"/>
    </row>
    <row r="111" spans="1:24" s="335" customFormat="1" ht="50.1" customHeight="1">
      <c r="A111" s="3208">
        <v>20</v>
      </c>
      <c r="B111" s="3212">
        <v>821621</v>
      </c>
      <c r="C111" s="3127"/>
      <c r="D111" s="3222" t="s">
        <v>1020</v>
      </c>
      <c r="E111" s="3211" t="s">
        <v>1007</v>
      </c>
      <c r="F111" s="3078">
        <v>39487</v>
      </c>
      <c r="G111" s="3083"/>
      <c r="H111" s="3139">
        <f>SUM(F111:G111)</f>
        <v>39487</v>
      </c>
      <c r="I111" s="3080"/>
      <c r="J111" s="1332"/>
      <c r="K111" s="3140">
        <f>SUM(I111:J111)</f>
        <v>0</v>
      </c>
      <c r="L111" s="345">
        <f t="shared" si="10"/>
        <v>0</v>
      </c>
      <c r="M111" s="331"/>
      <c r="N111" s="331"/>
      <c r="O111" s="331"/>
      <c r="P111" s="331"/>
      <c r="Q111" s="331"/>
      <c r="R111" s="331"/>
      <c r="S111" s="331"/>
      <c r="T111" s="334"/>
      <c r="U111" s="334"/>
      <c r="V111" s="334"/>
      <c r="W111" s="334"/>
      <c r="X111" s="334"/>
    </row>
    <row r="112" spans="1:24" s="335" customFormat="1" ht="50.1" customHeight="1">
      <c r="A112" s="3208">
        <v>21</v>
      </c>
      <c r="B112" s="3212">
        <v>821611</v>
      </c>
      <c r="C112" s="3127"/>
      <c r="D112" s="3213" t="s">
        <v>946</v>
      </c>
      <c r="E112" s="3211" t="s">
        <v>1007</v>
      </c>
      <c r="F112" s="3078"/>
      <c r="G112" s="3083">
        <v>300000</v>
      </c>
      <c r="H112" s="3139">
        <f>SUM(F112:G112)</f>
        <v>300000</v>
      </c>
      <c r="I112" s="3080"/>
      <c r="J112" s="1332"/>
      <c r="K112" s="3140">
        <f>SUM(I112:J112)</f>
        <v>0</v>
      </c>
      <c r="L112" s="345">
        <f t="shared" si="10"/>
        <v>0</v>
      </c>
      <c r="M112" s="331"/>
      <c r="N112" s="331"/>
      <c r="O112" s="331"/>
      <c r="P112" s="331"/>
      <c r="Q112" s="331"/>
      <c r="R112" s="331"/>
      <c r="S112" s="331"/>
      <c r="T112" s="334"/>
      <c r="U112" s="334"/>
      <c r="V112" s="334"/>
      <c r="W112" s="334"/>
      <c r="X112" s="334"/>
    </row>
    <row r="113" spans="1:27" s="335" customFormat="1" ht="50.1" customHeight="1">
      <c r="A113" s="3208">
        <v>22</v>
      </c>
      <c r="B113" s="3223"/>
      <c r="C113" s="3127"/>
      <c r="D113" s="3213" t="s">
        <v>1200</v>
      </c>
      <c r="E113" s="3091" t="s">
        <v>1007</v>
      </c>
      <c r="F113" s="3078">
        <v>55000</v>
      </c>
      <c r="G113" s="3083">
        <v>275000</v>
      </c>
      <c r="H113" s="1476">
        <f>SUM(F113:G113)</f>
        <v>330000</v>
      </c>
      <c r="I113" s="3080"/>
      <c r="J113" s="1332"/>
      <c r="K113" s="3081">
        <f>SUM(I113:J113)</f>
        <v>0</v>
      </c>
      <c r="L113" s="345">
        <f t="shared" si="10"/>
        <v>0</v>
      </c>
      <c r="M113" s="331"/>
      <c r="N113" s="331"/>
      <c r="O113" s="331"/>
      <c r="P113" s="331"/>
      <c r="Q113" s="331"/>
      <c r="R113" s="331"/>
      <c r="S113" s="331"/>
      <c r="T113" s="334"/>
      <c r="U113" s="334"/>
      <c r="V113" s="334"/>
      <c r="W113" s="334"/>
      <c r="X113" s="334"/>
    </row>
    <row r="114" spans="1:27" s="335" customFormat="1" ht="50.1" customHeight="1">
      <c r="A114" s="3208">
        <v>23</v>
      </c>
      <c r="B114" s="3223"/>
      <c r="C114" s="3127"/>
      <c r="D114" s="3213" t="s">
        <v>1201</v>
      </c>
      <c r="E114" s="3091" t="s">
        <v>1007</v>
      </c>
      <c r="F114" s="3078"/>
      <c r="G114" s="3083">
        <v>90000</v>
      </c>
      <c r="H114" s="1476">
        <f t="shared" ref="H114:H118" si="18">SUM(F114:G114)</f>
        <v>90000</v>
      </c>
      <c r="I114" s="3080"/>
      <c r="J114" s="1332"/>
      <c r="K114" s="3081">
        <f t="shared" ref="K114:K118" si="19">SUM(I114:J114)</f>
        <v>0</v>
      </c>
      <c r="L114" s="345">
        <f t="shared" si="10"/>
        <v>0</v>
      </c>
      <c r="M114" s="331"/>
      <c r="N114" s="331"/>
      <c r="O114" s="331"/>
      <c r="P114" s="331"/>
      <c r="Q114" s="331"/>
      <c r="R114" s="331"/>
      <c r="S114" s="331"/>
      <c r="T114" s="334"/>
      <c r="U114" s="334"/>
      <c r="V114" s="334"/>
      <c r="W114" s="334"/>
      <c r="X114" s="334"/>
    </row>
    <row r="115" spans="1:27" s="335" customFormat="1" ht="50.1" customHeight="1">
      <c r="A115" s="3208">
        <v>24</v>
      </c>
      <c r="B115" s="3223"/>
      <c r="C115" s="3127"/>
      <c r="D115" s="3213" t="s">
        <v>1202</v>
      </c>
      <c r="E115" s="3091" t="s">
        <v>1007</v>
      </c>
      <c r="F115" s="3078"/>
      <c r="G115" s="3083">
        <v>15000</v>
      </c>
      <c r="H115" s="1476">
        <f t="shared" si="18"/>
        <v>15000</v>
      </c>
      <c r="I115" s="3080"/>
      <c r="J115" s="1332"/>
      <c r="K115" s="3081">
        <f t="shared" si="19"/>
        <v>0</v>
      </c>
      <c r="L115" s="345">
        <f t="shared" si="10"/>
        <v>0</v>
      </c>
      <c r="M115" s="331"/>
      <c r="N115" s="331"/>
      <c r="O115" s="331"/>
      <c r="P115" s="331"/>
      <c r="Q115" s="331"/>
      <c r="R115" s="331"/>
      <c r="S115" s="331"/>
      <c r="T115" s="334"/>
      <c r="U115" s="334"/>
      <c r="V115" s="334"/>
      <c r="W115" s="334"/>
      <c r="X115" s="334"/>
    </row>
    <row r="116" spans="1:27" s="335" customFormat="1" ht="50.1" customHeight="1">
      <c r="A116" s="3208">
        <v>25</v>
      </c>
      <c r="B116" s="3223"/>
      <c r="C116" s="3127"/>
      <c r="D116" s="3213" t="s">
        <v>1203</v>
      </c>
      <c r="E116" s="3091" t="s">
        <v>1007</v>
      </c>
      <c r="F116" s="3078">
        <v>50463</v>
      </c>
      <c r="G116" s="3083">
        <v>12533</v>
      </c>
      <c r="H116" s="1476">
        <f t="shared" si="18"/>
        <v>62996</v>
      </c>
      <c r="I116" s="3080"/>
      <c r="J116" s="1332"/>
      <c r="K116" s="3081">
        <f t="shared" si="19"/>
        <v>0</v>
      </c>
      <c r="L116" s="345">
        <f t="shared" si="10"/>
        <v>0</v>
      </c>
      <c r="M116" s="331"/>
      <c r="N116" s="331"/>
      <c r="O116" s="331"/>
      <c r="P116" s="331"/>
      <c r="Q116" s="331"/>
      <c r="R116" s="331"/>
      <c r="S116" s="331"/>
      <c r="T116" s="334"/>
      <c r="U116" s="334"/>
      <c r="V116" s="334"/>
      <c r="W116" s="334"/>
      <c r="X116" s="334"/>
    </row>
    <row r="117" spans="1:27" s="335" customFormat="1" ht="50.1" customHeight="1">
      <c r="A117" s="3208">
        <v>26</v>
      </c>
      <c r="B117" s="3223"/>
      <c r="C117" s="3224"/>
      <c r="D117" s="3225" t="s">
        <v>1281</v>
      </c>
      <c r="E117" s="3226" t="s">
        <v>1007</v>
      </c>
      <c r="F117" s="3078"/>
      <c r="G117" s="3227"/>
      <c r="H117" s="3139">
        <f t="shared" ref="H117" si="20">SUM(F117:G117)</f>
        <v>0</v>
      </c>
      <c r="I117" s="3080"/>
      <c r="J117" s="1332"/>
      <c r="K117" s="3228">
        <f t="shared" si="19"/>
        <v>0</v>
      </c>
      <c r="L117" s="345"/>
      <c r="M117" s="331"/>
      <c r="N117" s="331"/>
      <c r="O117" s="331"/>
      <c r="P117" s="331"/>
      <c r="Q117" s="331"/>
      <c r="R117" s="331"/>
      <c r="S117" s="331"/>
      <c r="T117" s="334"/>
      <c r="U117" s="334"/>
      <c r="V117" s="334"/>
      <c r="W117" s="334"/>
      <c r="X117" s="334"/>
    </row>
    <row r="118" spans="1:27" s="2968" customFormat="1" ht="50.1" customHeight="1" thickBot="1">
      <c r="A118" s="3229">
        <v>27</v>
      </c>
      <c r="B118" s="3230"/>
      <c r="C118" s="3231"/>
      <c r="D118" s="3232" t="s">
        <v>1717</v>
      </c>
      <c r="E118" s="3233" t="s">
        <v>1007</v>
      </c>
      <c r="F118" s="3234"/>
      <c r="G118" s="3235">
        <v>25043</v>
      </c>
      <c r="H118" s="3236">
        <f t="shared" si="18"/>
        <v>25043</v>
      </c>
      <c r="I118" s="3205"/>
      <c r="J118" s="1443"/>
      <c r="K118" s="3237">
        <f t="shared" si="19"/>
        <v>0</v>
      </c>
      <c r="L118" s="345">
        <f t="shared" si="10"/>
        <v>0</v>
      </c>
      <c r="M118" s="331"/>
      <c r="N118" s="331"/>
      <c r="O118" s="331"/>
      <c r="P118" s="331"/>
      <c r="Q118" s="331"/>
      <c r="R118" s="331"/>
      <c r="S118" s="331"/>
      <c r="T118" s="2967"/>
      <c r="U118" s="2967"/>
      <c r="V118" s="2967"/>
      <c r="W118" s="2967"/>
      <c r="X118" s="2967"/>
    </row>
    <row r="119" spans="1:27" ht="50.1" customHeight="1" thickTop="1" thickBot="1">
      <c r="A119" s="3151"/>
      <c r="B119" s="3152"/>
      <c r="C119" s="3153"/>
      <c r="D119" s="3154"/>
      <c r="E119" s="3155"/>
      <c r="F119" s="3156"/>
      <c r="G119" s="3156"/>
      <c r="H119" s="3156"/>
      <c r="I119" s="3112"/>
      <c r="J119" s="3112"/>
      <c r="K119" s="3156"/>
      <c r="L119" s="345">
        <f t="shared" si="10"/>
        <v>0</v>
      </c>
      <c r="M119" s="326"/>
      <c r="N119" s="326"/>
      <c r="O119" s="326"/>
      <c r="P119" s="326"/>
      <c r="Q119" s="326"/>
      <c r="R119" s="326"/>
      <c r="S119" s="326"/>
      <c r="T119" s="275"/>
      <c r="U119" s="275"/>
      <c r="V119" s="275"/>
      <c r="Y119"/>
      <c r="Z119"/>
      <c r="AA119"/>
    </row>
    <row r="120" spans="1:27" ht="50.1" customHeight="1" thickTop="1">
      <c r="A120" s="3157" t="s">
        <v>0</v>
      </c>
      <c r="B120" s="3158"/>
      <c r="C120" s="3159"/>
      <c r="D120" s="3191" t="s">
        <v>1021</v>
      </c>
      <c r="E120" s="3238" t="s">
        <v>1022</v>
      </c>
      <c r="F120" s="3162">
        <f t="shared" ref="F120:K120" si="21">SUM(F121:F151)</f>
        <v>1589466.72</v>
      </c>
      <c r="G120" s="3163">
        <f t="shared" si="21"/>
        <v>810200</v>
      </c>
      <c r="H120" s="3164">
        <f t="shared" si="21"/>
        <v>2399666.7200000002</v>
      </c>
      <c r="I120" s="3162">
        <f t="shared" si="21"/>
        <v>0</v>
      </c>
      <c r="J120" s="3163">
        <f t="shared" si="21"/>
        <v>570000</v>
      </c>
      <c r="K120" s="3165">
        <f t="shared" si="21"/>
        <v>570000</v>
      </c>
      <c r="L120" s="345">
        <f>'Rashodi i izdaci-poseban dio'!W363</f>
        <v>0</v>
      </c>
      <c r="M120" s="330">
        <f>'Prihodi-opći dio'!D87</f>
        <v>810200</v>
      </c>
      <c r="N120" s="330"/>
      <c r="O120" s="330"/>
      <c r="P120" s="330"/>
      <c r="Q120" s="330"/>
      <c r="R120" s="330"/>
      <c r="S120" s="330"/>
      <c r="T120" s="274">
        <f>'[13]BUDŽET 2021'!$N$890</f>
        <v>2397167.13</v>
      </c>
      <c r="U120" s="274">
        <f>'[13]BUDŽET 2021'!$N$893</f>
        <v>1589467.13</v>
      </c>
      <c r="V120" s="274">
        <f>'[13]BUDŽET 2021'!$N$891</f>
        <v>807700</v>
      </c>
      <c r="Y120"/>
      <c r="Z120"/>
      <c r="AA120"/>
    </row>
    <row r="121" spans="1:27" s="335" customFormat="1" ht="50.1" customHeight="1">
      <c r="A121" s="3239">
        <v>1</v>
      </c>
      <c r="B121" s="3169">
        <v>821612</v>
      </c>
      <c r="C121" s="3127"/>
      <c r="D121" s="3240" t="s">
        <v>1023</v>
      </c>
      <c r="E121" s="3241" t="s">
        <v>1022</v>
      </c>
      <c r="F121" s="3078">
        <v>46780</v>
      </c>
      <c r="G121" s="3242"/>
      <c r="H121" s="1476">
        <f t="shared" ref="H121:H151" si="22">F121+G121</f>
        <v>46780</v>
      </c>
      <c r="I121" s="3080"/>
      <c r="J121" s="3243"/>
      <c r="K121" s="3081">
        <f t="shared" ref="K121:K151" si="23">I121+J121</f>
        <v>0</v>
      </c>
      <c r="L121" s="345">
        <f t="shared" si="10"/>
        <v>0</v>
      </c>
      <c r="M121" s="331"/>
      <c r="N121" s="331">
        <f>N120-G120</f>
        <v>-810200</v>
      </c>
      <c r="O121" s="331"/>
      <c r="P121" s="331"/>
      <c r="Q121" s="331"/>
      <c r="R121" s="331"/>
      <c r="S121" s="331"/>
      <c r="T121" s="334"/>
      <c r="U121" s="334"/>
      <c r="V121" s="334"/>
      <c r="W121" s="334"/>
      <c r="X121" s="334"/>
    </row>
    <row r="122" spans="1:27" s="335" customFormat="1" ht="50.1" customHeight="1">
      <c r="A122" s="3239">
        <v>2</v>
      </c>
      <c r="B122" s="3169"/>
      <c r="C122" s="3127"/>
      <c r="D122" s="3244" t="s">
        <v>1204</v>
      </c>
      <c r="E122" s="3241" t="s">
        <v>1022</v>
      </c>
      <c r="F122" s="3078">
        <v>142446</v>
      </c>
      <c r="G122" s="3242">
        <v>59700</v>
      </c>
      <c r="H122" s="1476">
        <f t="shared" si="22"/>
        <v>202146</v>
      </c>
      <c r="I122" s="3080"/>
      <c r="J122" s="3243">
        <v>270000</v>
      </c>
      <c r="K122" s="3081">
        <f t="shared" si="23"/>
        <v>270000</v>
      </c>
      <c r="L122" s="345">
        <f t="shared" si="10"/>
        <v>0</v>
      </c>
      <c r="M122" s="331">
        <f>L120-H120</f>
        <v>-2399666.7200000002</v>
      </c>
      <c r="N122" s="331"/>
      <c r="O122" s="331"/>
      <c r="P122" s="331"/>
      <c r="Q122" s="331"/>
      <c r="R122" s="331"/>
      <c r="S122" s="331"/>
      <c r="T122" s="334"/>
      <c r="U122" s="334"/>
      <c r="V122" s="334"/>
      <c r="W122" s="334"/>
      <c r="X122" s="334"/>
    </row>
    <row r="123" spans="1:27" s="335" customFormat="1" ht="50.1" customHeight="1">
      <c r="A123" s="3239">
        <v>3</v>
      </c>
      <c r="B123" s="3169">
        <v>821614</v>
      </c>
      <c r="C123" s="3127"/>
      <c r="D123" s="3245" t="s">
        <v>1024</v>
      </c>
      <c r="E123" s="3246" t="s">
        <v>1022</v>
      </c>
      <c r="F123" s="3078">
        <v>15000</v>
      </c>
      <c r="G123" s="3083"/>
      <c r="H123" s="1476">
        <f t="shared" si="22"/>
        <v>15000</v>
      </c>
      <c r="I123" s="3080"/>
      <c r="J123" s="1332"/>
      <c r="K123" s="3081">
        <f t="shared" si="23"/>
        <v>0</v>
      </c>
      <c r="L123" s="345">
        <f t="shared" si="10"/>
        <v>0</v>
      </c>
      <c r="M123" s="331"/>
      <c r="N123" s="331"/>
      <c r="O123" s="331"/>
      <c r="P123" s="331"/>
      <c r="Q123" s="331"/>
      <c r="R123" s="331"/>
      <c r="S123" s="331"/>
      <c r="T123" s="334"/>
      <c r="U123" s="334"/>
      <c r="V123" s="334"/>
      <c r="W123" s="334"/>
      <c r="X123" s="334"/>
    </row>
    <row r="124" spans="1:27" s="335" customFormat="1" ht="50.1" customHeight="1">
      <c r="A124" s="3239">
        <v>4</v>
      </c>
      <c r="B124" s="3169">
        <v>821611</v>
      </c>
      <c r="C124" s="3127"/>
      <c r="D124" s="3245" t="s">
        <v>1025</v>
      </c>
      <c r="E124" s="3246" t="s">
        <v>1022</v>
      </c>
      <c r="F124" s="3078">
        <v>50000</v>
      </c>
      <c r="G124" s="3083"/>
      <c r="H124" s="1476">
        <f t="shared" si="22"/>
        <v>50000</v>
      </c>
      <c r="I124" s="3080"/>
      <c r="J124" s="1332"/>
      <c r="K124" s="3081">
        <f t="shared" si="23"/>
        <v>0</v>
      </c>
      <c r="L124" s="345">
        <f t="shared" si="10"/>
        <v>0</v>
      </c>
      <c r="M124" s="331">
        <f>'[1]PRIH REBALANS'!$AH$111</f>
        <v>570000</v>
      </c>
      <c r="N124" s="331"/>
      <c r="O124" s="331"/>
      <c r="P124" s="331"/>
      <c r="Q124" s="331"/>
      <c r="R124" s="331"/>
      <c r="S124" s="331"/>
      <c r="T124" s="334"/>
      <c r="U124" s="334"/>
      <c r="V124" s="334"/>
      <c r="W124" s="334"/>
      <c r="X124" s="334"/>
    </row>
    <row r="125" spans="1:27" s="335" customFormat="1" ht="50.1" customHeight="1">
      <c r="A125" s="3239">
        <v>5</v>
      </c>
      <c r="B125" s="3169">
        <v>821618</v>
      </c>
      <c r="C125" s="3127"/>
      <c r="D125" s="3245" t="s">
        <v>1026</v>
      </c>
      <c r="E125" s="3246" t="s">
        <v>1022</v>
      </c>
      <c r="F125" s="3078">
        <v>40000</v>
      </c>
      <c r="G125" s="3083"/>
      <c r="H125" s="1476">
        <f t="shared" si="22"/>
        <v>40000</v>
      </c>
      <c r="I125" s="3080"/>
      <c r="J125" s="1332"/>
      <c r="K125" s="3081">
        <f t="shared" si="23"/>
        <v>0</v>
      </c>
      <c r="L125" s="345">
        <f t="shared" si="10"/>
        <v>0</v>
      </c>
      <c r="M125" s="331">
        <f>M124-J120</f>
        <v>0</v>
      </c>
      <c r="N125" s="331"/>
      <c r="O125" s="331"/>
      <c r="P125" s="331"/>
      <c r="Q125" s="331"/>
      <c r="R125" s="331"/>
      <c r="S125" s="331"/>
      <c r="T125" s="334"/>
      <c r="U125" s="334"/>
      <c r="V125" s="334"/>
      <c r="W125" s="334"/>
      <c r="X125" s="334"/>
    </row>
    <row r="126" spans="1:27" s="335" customFormat="1" ht="50.1" customHeight="1">
      <c r="A126" s="3239">
        <v>6</v>
      </c>
      <c r="B126" s="3169">
        <v>821213</v>
      </c>
      <c r="C126" s="3127"/>
      <c r="D126" s="3245" t="s">
        <v>1027</v>
      </c>
      <c r="E126" s="3246" t="s">
        <v>1022</v>
      </c>
      <c r="F126" s="3078">
        <v>100000</v>
      </c>
      <c r="G126" s="3083">
        <v>15000</v>
      </c>
      <c r="H126" s="1476">
        <f t="shared" si="22"/>
        <v>115000</v>
      </c>
      <c r="I126" s="3080"/>
      <c r="J126" s="1332"/>
      <c r="K126" s="3081">
        <f t="shared" si="23"/>
        <v>0</v>
      </c>
      <c r="L126" s="345">
        <f t="shared" si="10"/>
        <v>0</v>
      </c>
      <c r="M126" s="331"/>
      <c r="N126" s="331"/>
      <c r="O126" s="331"/>
      <c r="P126" s="331"/>
      <c r="Q126" s="331"/>
      <c r="R126" s="331"/>
      <c r="S126" s="331"/>
      <c r="T126" s="334"/>
      <c r="U126" s="334"/>
      <c r="V126" s="334"/>
      <c r="W126" s="334"/>
      <c r="X126" s="334"/>
    </row>
    <row r="127" spans="1:27" s="335" customFormat="1" ht="50.1" customHeight="1">
      <c r="A127" s="3239">
        <v>7</v>
      </c>
      <c r="B127" s="3169">
        <v>821224</v>
      </c>
      <c r="C127" s="3127"/>
      <c r="D127" s="3247" t="s">
        <v>1028</v>
      </c>
      <c r="E127" s="3246" t="s">
        <v>1022</v>
      </c>
      <c r="F127" s="3078">
        <v>10507.26</v>
      </c>
      <c r="G127" s="3083"/>
      <c r="H127" s="1476">
        <f t="shared" si="22"/>
        <v>10507.26</v>
      </c>
      <c r="I127" s="3080"/>
      <c r="J127" s="1332"/>
      <c r="K127" s="3081">
        <f t="shared" si="23"/>
        <v>0</v>
      </c>
      <c r="L127" s="345">
        <f t="shared" si="10"/>
        <v>0</v>
      </c>
      <c r="M127" s="331"/>
      <c r="N127" s="331"/>
      <c r="O127" s="331"/>
      <c r="P127" s="331"/>
      <c r="Q127" s="331"/>
      <c r="R127" s="331"/>
      <c r="S127" s="331"/>
      <c r="T127" s="334"/>
      <c r="U127" s="334"/>
      <c r="V127" s="334"/>
      <c r="W127" s="334"/>
      <c r="X127" s="334"/>
    </row>
    <row r="128" spans="1:27" s="335" customFormat="1" ht="50.1" customHeight="1">
      <c r="A128" s="3239">
        <v>8</v>
      </c>
      <c r="B128" s="3169">
        <v>821222</v>
      </c>
      <c r="C128" s="3218"/>
      <c r="D128" s="3213" t="s">
        <v>1029</v>
      </c>
      <c r="E128" s="3246" t="s">
        <v>1022</v>
      </c>
      <c r="F128" s="3078">
        <v>20000</v>
      </c>
      <c r="G128" s="3083">
        <v>13000</v>
      </c>
      <c r="H128" s="1476">
        <f t="shared" si="22"/>
        <v>33000</v>
      </c>
      <c r="I128" s="3080"/>
      <c r="J128" s="1332"/>
      <c r="K128" s="3081">
        <f t="shared" si="23"/>
        <v>0</v>
      </c>
      <c r="L128" s="345">
        <f t="shared" si="10"/>
        <v>0</v>
      </c>
      <c r="M128" s="331"/>
      <c r="N128" s="331"/>
      <c r="O128" s="331"/>
      <c r="P128" s="331"/>
      <c r="Q128" s="331"/>
      <c r="R128" s="331"/>
      <c r="S128" s="331"/>
      <c r="T128" s="334"/>
      <c r="U128" s="334"/>
      <c r="V128" s="334"/>
      <c r="W128" s="334"/>
      <c r="X128" s="334"/>
    </row>
    <row r="129" spans="1:24" s="335" customFormat="1" ht="50.1" customHeight="1">
      <c r="A129" s="3239">
        <v>9</v>
      </c>
      <c r="B129" s="3169"/>
      <c r="C129" s="3127"/>
      <c r="D129" s="3240" t="s">
        <v>1030</v>
      </c>
      <c r="E129" s="3120" t="s">
        <v>1022</v>
      </c>
      <c r="F129" s="3078"/>
      <c r="G129" s="3083">
        <v>30000</v>
      </c>
      <c r="H129" s="1476">
        <f t="shared" si="22"/>
        <v>30000</v>
      </c>
      <c r="I129" s="3080"/>
      <c r="J129" s="1332"/>
      <c r="K129" s="3081">
        <f t="shared" si="23"/>
        <v>0</v>
      </c>
      <c r="L129" s="345">
        <f t="shared" si="10"/>
        <v>0</v>
      </c>
      <c r="M129" s="331"/>
      <c r="N129" s="331"/>
      <c r="O129" s="331"/>
      <c r="P129" s="331"/>
      <c r="Q129" s="331"/>
      <c r="R129" s="331"/>
      <c r="S129" s="331"/>
      <c r="T129" s="334"/>
      <c r="U129" s="334"/>
      <c r="V129" s="334"/>
      <c r="W129" s="334"/>
      <c r="X129" s="334"/>
    </row>
    <row r="130" spans="1:24" s="335" customFormat="1" ht="50.1" customHeight="1">
      <c r="A130" s="3239">
        <v>10</v>
      </c>
      <c r="B130" s="3169"/>
      <c r="C130" s="3127"/>
      <c r="D130" s="3248" t="s">
        <v>1205</v>
      </c>
      <c r="E130" s="3120" t="s">
        <v>1022</v>
      </c>
      <c r="F130" s="3078">
        <v>0</v>
      </c>
      <c r="G130" s="3083">
        <v>580000</v>
      </c>
      <c r="H130" s="1476">
        <f t="shared" si="22"/>
        <v>580000</v>
      </c>
      <c r="I130" s="3080"/>
      <c r="J130" s="1332">
        <v>100000</v>
      </c>
      <c r="K130" s="3081">
        <f t="shared" si="23"/>
        <v>100000</v>
      </c>
      <c r="L130" s="345">
        <f t="shared" si="10"/>
        <v>0</v>
      </c>
      <c r="M130" s="331"/>
      <c r="N130" s="331"/>
      <c r="O130" s="331"/>
      <c r="P130" s="331"/>
      <c r="Q130" s="331"/>
      <c r="R130" s="331"/>
      <c r="S130" s="331"/>
      <c r="T130" s="334"/>
      <c r="U130" s="334"/>
      <c r="V130" s="334"/>
      <c r="W130" s="334"/>
      <c r="X130" s="334"/>
    </row>
    <row r="131" spans="1:24" s="335" customFormat="1" ht="50.1" customHeight="1">
      <c r="A131" s="3239">
        <v>11</v>
      </c>
      <c r="B131" s="3169">
        <v>821222</v>
      </c>
      <c r="C131" s="3127"/>
      <c r="D131" s="3172" t="s">
        <v>1031</v>
      </c>
      <c r="E131" s="3120" t="s">
        <v>1022</v>
      </c>
      <c r="F131" s="3078">
        <v>266812</v>
      </c>
      <c r="G131" s="3083"/>
      <c r="H131" s="1476">
        <f t="shared" si="22"/>
        <v>266812</v>
      </c>
      <c r="I131" s="3080"/>
      <c r="J131" s="1332">
        <v>200000</v>
      </c>
      <c r="K131" s="3081">
        <f t="shared" si="23"/>
        <v>200000</v>
      </c>
      <c r="L131" s="345">
        <f t="shared" si="10"/>
        <v>0</v>
      </c>
      <c r="M131" s="331"/>
      <c r="N131" s="331"/>
      <c r="O131" s="331"/>
      <c r="P131" s="331"/>
      <c r="Q131" s="331"/>
      <c r="R131" s="331"/>
      <c r="S131" s="331"/>
      <c r="T131" s="334"/>
      <c r="U131" s="334"/>
      <c r="V131" s="334"/>
      <c r="W131" s="334"/>
      <c r="X131" s="334"/>
    </row>
    <row r="132" spans="1:24" s="335" customFormat="1" ht="50.1" customHeight="1">
      <c r="A132" s="3239">
        <v>12</v>
      </c>
      <c r="B132" s="3169">
        <v>821221</v>
      </c>
      <c r="C132" s="3127"/>
      <c r="D132" s="3172" t="s">
        <v>1032</v>
      </c>
      <c r="E132" s="3120" t="s">
        <v>1022</v>
      </c>
      <c r="F132" s="3078">
        <v>125655</v>
      </c>
      <c r="G132" s="3083"/>
      <c r="H132" s="3139">
        <f t="shared" si="22"/>
        <v>125655</v>
      </c>
      <c r="I132" s="3080"/>
      <c r="J132" s="1332"/>
      <c r="K132" s="3140">
        <f t="shared" si="23"/>
        <v>0</v>
      </c>
      <c r="L132" s="345">
        <f t="shared" si="10"/>
        <v>0</v>
      </c>
      <c r="M132" s="331"/>
      <c r="N132" s="331"/>
      <c r="O132" s="331"/>
      <c r="P132" s="331"/>
      <c r="Q132" s="331"/>
      <c r="R132" s="331"/>
      <c r="S132" s="331"/>
      <c r="T132" s="334"/>
      <c r="U132" s="334"/>
      <c r="V132" s="334"/>
      <c r="W132" s="334"/>
      <c r="X132" s="334"/>
    </row>
    <row r="133" spans="1:24" s="335" customFormat="1" ht="50.1" customHeight="1">
      <c r="A133" s="3239">
        <v>13</v>
      </c>
      <c r="B133" s="3169"/>
      <c r="C133" s="3127"/>
      <c r="D133" s="3172" t="s">
        <v>1206</v>
      </c>
      <c r="E133" s="3120" t="s">
        <v>1022</v>
      </c>
      <c r="F133" s="3078">
        <v>21594</v>
      </c>
      <c r="G133" s="3083"/>
      <c r="H133" s="3139">
        <f t="shared" si="22"/>
        <v>21594</v>
      </c>
      <c r="I133" s="3080"/>
      <c r="J133" s="1332"/>
      <c r="K133" s="3140">
        <f t="shared" si="23"/>
        <v>0</v>
      </c>
      <c r="L133" s="345">
        <f t="shared" si="10"/>
        <v>0</v>
      </c>
      <c r="M133" s="331"/>
      <c r="N133" s="331"/>
      <c r="O133" s="331"/>
      <c r="P133" s="331"/>
      <c r="Q133" s="331"/>
      <c r="R133" s="331"/>
      <c r="S133" s="331"/>
      <c r="T133" s="334"/>
      <c r="U133" s="334"/>
      <c r="V133" s="334"/>
      <c r="W133" s="334"/>
      <c r="X133" s="334"/>
    </row>
    <row r="134" spans="1:24" s="335" customFormat="1" ht="50.1" customHeight="1">
      <c r="A134" s="3239">
        <v>14</v>
      </c>
      <c r="B134" s="3169"/>
      <c r="C134" s="3127"/>
      <c r="D134" s="3172" t="s">
        <v>1207</v>
      </c>
      <c r="E134" s="3120" t="s">
        <v>1022</v>
      </c>
      <c r="F134" s="3078">
        <v>70000</v>
      </c>
      <c r="G134" s="3083"/>
      <c r="H134" s="3139">
        <f t="shared" si="22"/>
        <v>70000</v>
      </c>
      <c r="I134" s="3080"/>
      <c r="J134" s="1332"/>
      <c r="K134" s="3140">
        <f t="shared" si="23"/>
        <v>0</v>
      </c>
      <c r="L134" s="345">
        <f t="shared" si="10"/>
        <v>0</v>
      </c>
      <c r="M134" s="331"/>
      <c r="N134" s="331"/>
      <c r="O134" s="331"/>
      <c r="P134" s="331"/>
      <c r="Q134" s="331"/>
      <c r="R134" s="331"/>
      <c r="S134" s="331"/>
      <c r="T134" s="334"/>
      <c r="U134" s="334"/>
      <c r="V134" s="334"/>
      <c r="W134" s="334"/>
      <c r="X134" s="334"/>
    </row>
    <row r="135" spans="1:24" s="335" customFormat="1" ht="50.1" customHeight="1">
      <c r="A135" s="3239">
        <v>15</v>
      </c>
      <c r="B135" s="3169"/>
      <c r="C135" s="3127"/>
      <c r="D135" s="3076" t="s">
        <v>1033</v>
      </c>
      <c r="E135" s="3120" t="s">
        <v>1022</v>
      </c>
      <c r="F135" s="3078">
        <v>23219</v>
      </c>
      <c r="G135" s="3083">
        <v>60000</v>
      </c>
      <c r="H135" s="1476">
        <f t="shared" si="22"/>
        <v>83219</v>
      </c>
      <c r="I135" s="3080"/>
      <c r="J135" s="1332"/>
      <c r="K135" s="3081">
        <f t="shared" si="23"/>
        <v>0</v>
      </c>
      <c r="L135" s="345">
        <f t="shared" si="10"/>
        <v>0</v>
      </c>
      <c r="M135" s="331"/>
      <c r="N135" s="331"/>
      <c r="O135" s="331"/>
      <c r="P135" s="331"/>
      <c r="Q135" s="331"/>
      <c r="R135" s="331"/>
      <c r="S135" s="331"/>
      <c r="T135" s="334"/>
      <c r="U135" s="334"/>
      <c r="V135" s="334"/>
      <c r="W135" s="334"/>
      <c r="X135" s="334"/>
    </row>
    <row r="136" spans="1:24" s="335" customFormat="1" ht="50.1" customHeight="1">
      <c r="A136" s="3239">
        <v>16</v>
      </c>
      <c r="B136" s="3169">
        <v>821611</v>
      </c>
      <c r="C136" s="3127"/>
      <c r="D136" s="3076" t="s">
        <v>1034</v>
      </c>
      <c r="E136" s="3120" t="s">
        <v>1022</v>
      </c>
      <c r="F136" s="3078">
        <v>4105.8</v>
      </c>
      <c r="G136" s="3083"/>
      <c r="H136" s="1476">
        <f t="shared" si="22"/>
        <v>4105.8</v>
      </c>
      <c r="I136" s="3080"/>
      <c r="J136" s="1332"/>
      <c r="K136" s="3081">
        <f t="shared" si="23"/>
        <v>0</v>
      </c>
      <c r="L136" s="345">
        <f t="shared" si="10"/>
        <v>0</v>
      </c>
      <c r="M136" s="331"/>
      <c r="N136" s="331"/>
      <c r="O136" s="331"/>
      <c r="P136" s="331"/>
      <c r="Q136" s="331"/>
      <c r="R136" s="331"/>
      <c r="S136" s="331"/>
      <c r="T136" s="334"/>
      <c r="U136" s="334"/>
      <c r="V136" s="334"/>
      <c r="W136" s="334"/>
      <c r="X136" s="334"/>
    </row>
    <row r="137" spans="1:24" s="335" customFormat="1" ht="50.1" customHeight="1">
      <c r="A137" s="3239">
        <v>17</v>
      </c>
      <c r="B137" s="3169">
        <v>821611</v>
      </c>
      <c r="C137" s="3127"/>
      <c r="D137" s="3076" t="s">
        <v>1035</v>
      </c>
      <c r="E137" s="3120" t="s">
        <v>1022</v>
      </c>
      <c r="F137" s="3078">
        <v>10041.34</v>
      </c>
      <c r="G137" s="3083"/>
      <c r="H137" s="1476">
        <f t="shared" si="22"/>
        <v>10041.34</v>
      </c>
      <c r="I137" s="3080"/>
      <c r="J137" s="1332"/>
      <c r="K137" s="3081">
        <f t="shared" si="23"/>
        <v>0</v>
      </c>
      <c r="L137" s="345">
        <f t="shared" si="10"/>
        <v>0</v>
      </c>
      <c r="M137" s="331"/>
      <c r="N137" s="331"/>
      <c r="O137" s="331"/>
      <c r="P137" s="331"/>
      <c r="Q137" s="331"/>
      <c r="R137" s="331"/>
      <c r="S137" s="331"/>
      <c r="T137" s="334"/>
      <c r="U137" s="334"/>
      <c r="V137" s="334"/>
      <c r="W137" s="334"/>
      <c r="X137" s="334"/>
    </row>
    <row r="138" spans="1:24" s="335" customFormat="1" ht="50.1" customHeight="1">
      <c r="A138" s="3239">
        <v>18</v>
      </c>
      <c r="B138" s="3169">
        <v>821611</v>
      </c>
      <c r="C138" s="3127"/>
      <c r="D138" s="3076" t="s">
        <v>1036</v>
      </c>
      <c r="E138" s="3120" t="s">
        <v>1022</v>
      </c>
      <c r="F138" s="3078">
        <v>4044.32</v>
      </c>
      <c r="G138" s="3083"/>
      <c r="H138" s="1476">
        <f t="shared" si="22"/>
        <v>4044.32</v>
      </c>
      <c r="I138" s="3080"/>
      <c r="J138" s="1332"/>
      <c r="K138" s="3081">
        <f t="shared" si="23"/>
        <v>0</v>
      </c>
      <c r="L138" s="345">
        <f t="shared" si="10"/>
        <v>0</v>
      </c>
      <c r="M138" s="331"/>
      <c r="N138" s="331"/>
      <c r="O138" s="331"/>
      <c r="P138" s="331"/>
      <c r="Q138" s="331"/>
      <c r="R138" s="331"/>
      <c r="S138" s="331"/>
      <c r="T138" s="334"/>
      <c r="U138" s="334"/>
      <c r="V138" s="334"/>
      <c r="W138" s="334"/>
      <c r="X138" s="334"/>
    </row>
    <row r="139" spans="1:24" s="335" customFormat="1" ht="50.1" customHeight="1">
      <c r="A139" s="3239">
        <v>19</v>
      </c>
      <c r="B139" s="3169">
        <v>821611</v>
      </c>
      <c r="C139" s="3127"/>
      <c r="D139" s="3076" t="s">
        <v>1037</v>
      </c>
      <c r="E139" s="3120" t="s">
        <v>1022</v>
      </c>
      <c r="F139" s="3078">
        <v>18000</v>
      </c>
      <c r="G139" s="3083"/>
      <c r="H139" s="1476">
        <f t="shared" si="22"/>
        <v>18000</v>
      </c>
      <c r="I139" s="3080"/>
      <c r="J139" s="1332"/>
      <c r="K139" s="3081">
        <f t="shared" si="23"/>
        <v>0</v>
      </c>
      <c r="L139" s="345">
        <f t="shared" si="10"/>
        <v>0</v>
      </c>
      <c r="M139" s="331"/>
      <c r="N139" s="331"/>
      <c r="O139" s="331"/>
      <c r="P139" s="331"/>
      <c r="Q139" s="331"/>
      <c r="R139" s="331"/>
      <c r="S139" s="331"/>
      <c r="T139" s="334"/>
      <c r="U139" s="334"/>
      <c r="V139" s="334"/>
      <c r="W139" s="334"/>
      <c r="X139" s="334"/>
    </row>
    <row r="140" spans="1:24" s="335" customFormat="1" ht="50.1" customHeight="1">
      <c r="A140" s="3239">
        <v>20</v>
      </c>
      <c r="B140" s="3169">
        <v>821222</v>
      </c>
      <c r="C140" s="3127"/>
      <c r="D140" s="3249" t="s">
        <v>1038</v>
      </c>
      <c r="E140" s="3120" t="s">
        <v>1022</v>
      </c>
      <c r="F140" s="3078">
        <v>100000</v>
      </c>
      <c r="G140" s="3083"/>
      <c r="H140" s="1476">
        <f t="shared" si="22"/>
        <v>100000</v>
      </c>
      <c r="I140" s="3080"/>
      <c r="J140" s="1332"/>
      <c r="K140" s="3081">
        <f t="shared" si="23"/>
        <v>0</v>
      </c>
      <c r="L140" s="345">
        <f t="shared" si="10"/>
        <v>0</v>
      </c>
      <c r="M140" s="331"/>
      <c r="N140" s="331"/>
      <c r="O140" s="331"/>
      <c r="P140" s="331"/>
      <c r="Q140" s="331"/>
      <c r="R140" s="331"/>
      <c r="S140" s="331"/>
      <c r="T140" s="334"/>
      <c r="U140" s="334"/>
      <c r="V140" s="334"/>
      <c r="W140" s="334"/>
      <c r="X140" s="334"/>
    </row>
    <row r="141" spans="1:24" s="335" customFormat="1" ht="50.1" customHeight="1">
      <c r="A141" s="3239">
        <v>21</v>
      </c>
      <c r="B141" s="3169">
        <v>821222</v>
      </c>
      <c r="C141" s="3127"/>
      <c r="D141" s="3076" t="s">
        <v>1039</v>
      </c>
      <c r="E141" s="3120" t="s">
        <v>1022</v>
      </c>
      <c r="F141" s="3078">
        <v>164308</v>
      </c>
      <c r="G141" s="3083"/>
      <c r="H141" s="1476">
        <f t="shared" si="22"/>
        <v>164308</v>
      </c>
      <c r="I141" s="3080"/>
      <c r="J141" s="1332"/>
      <c r="K141" s="3081">
        <f t="shared" si="23"/>
        <v>0</v>
      </c>
      <c r="L141" s="345">
        <f t="shared" si="10"/>
        <v>0</v>
      </c>
      <c r="M141" s="331"/>
      <c r="N141" s="331"/>
      <c r="O141" s="331"/>
      <c r="P141" s="331"/>
      <c r="Q141" s="331"/>
      <c r="R141" s="331"/>
      <c r="S141" s="331"/>
      <c r="T141" s="334"/>
      <c r="U141" s="334"/>
      <c r="V141" s="334"/>
      <c r="W141" s="334"/>
      <c r="X141" s="334"/>
    </row>
    <row r="142" spans="1:24" s="335" customFormat="1" ht="50.1" customHeight="1">
      <c r="A142" s="3239">
        <v>22</v>
      </c>
      <c r="B142" s="3169">
        <v>821222</v>
      </c>
      <c r="C142" s="3127"/>
      <c r="D142" s="3250" t="s">
        <v>1040</v>
      </c>
      <c r="E142" s="3173" t="s">
        <v>1022</v>
      </c>
      <c r="F142" s="3078">
        <v>35954</v>
      </c>
      <c r="G142" s="3083"/>
      <c r="H142" s="1476">
        <f t="shared" si="22"/>
        <v>35954</v>
      </c>
      <c r="I142" s="3080"/>
      <c r="J142" s="1332"/>
      <c r="K142" s="3081">
        <f t="shared" si="23"/>
        <v>0</v>
      </c>
      <c r="L142" s="345">
        <f t="shared" si="10"/>
        <v>0</v>
      </c>
      <c r="M142" s="331"/>
      <c r="N142" s="331"/>
      <c r="O142" s="331"/>
      <c r="P142" s="331"/>
      <c r="Q142" s="331"/>
      <c r="R142" s="331"/>
      <c r="S142" s="331"/>
      <c r="T142" s="334"/>
      <c r="U142" s="334"/>
      <c r="V142" s="334"/>
      <c r="W142" s="334"/>
      <c r="X142" s="334"/>
    </row>
    <row r="143" spans="1:24" s="335" customFormat="1" ht="50.1" customHeight="1">
      <c r="A143" s="3239">
        <v>23</v>
      </c>
      <c r="B143" s="3169">
        <v>821211</v>
      </c>
      <c r="C143" s="3127"/>
      <c r="D143" s="3250" t="s">
        <v>1041</v>
      </c>
      <c r="E143" s="3173" t="s">
        <v>1022</v>
      </c>
      <c r="F143" s="3078"/>
      <c r="G143" s="3083">
        <v>50000</v>
      </c>
      <c r="H143" s="1476">
        <f t="shared" si="22"/>
        <v>50000</v>
      </c>
      <c r="I143" s="3080"/>
      <c r="J143" s="1332"/>
      <c r="K143" s="3081">
        <f t="shared" si="23"/>
        <v>0</v>
      </c>
      <c r="L143" s="345">
        <f t="shared" ref="L143:L167" si="24">F143+G143-H143</f>
        <v>0</v>
      </c>
      <c r="M143" s="331"/>
      <c r="N143" s="331"/>
      <c r="O143" s="331"/>
      <c r="P143" s="331"/>
      <c r="Q143" s="331"/>
      <c r="R143" s="331"/>
      <c r="S143" s="331"/>
      <c r="T143" s="334"/>
      <c r="U143" s="334"/>
      <c r="V143" s="334"/>
      <c r="W143" s="334"/>
      <c r="X143" s="334"/>
    </row>
    <row r="144" spans="1:24" s="335" customFormat="1" ht="50.1" customHeight="1">
      <c r="A144" s="3239">
        <v>24</v>
      </c>
      <c r="B144" s="3169">
        <v>821221</v>
      </c>
      <c r="C144" s="3127"/>
      <c r="D144" s="3240" t="s">
        <v>1042</v>
      </c>
      <c r="E144" s="3173" t="s">
        <v>1022</v>
      </c>
      <c r="F144" s="3251">
        <v>90000</v>
      </c>
      <c r="G144" s="3083"/>
      <c r="H144" s="1476">
        <f t="shared" si="22"/>
        <v>90000</v>
      </c>
      <c r="I144" s="3252"/>
      <c r="J144" s="1332"/>
      <c r="K144" s="3081">
        <f t="shared" si="23"/>
        <v>0</v>
      </c>
      <c r="L144" s="345">
        <f t="shared" si="24"/>
        <v>0</v>
      </c>
      <c r="M144" s="331"/>
      <c r="N144" s="331"/>
      <c r="O144" s="331"/>
      <c r="P144" s="331"/>
      <c r="Q144" s="331"/>
      <c r="R144" s="331"/>
      <c r="S144" s="331"/>
      <c r="T144" s="334"/>
      <c r="U144" s="334"/>
      <c r="V144" s="334"/>
      <c r="W144" s="334"/>
      <c r="X144" s="334"/>
    </row>
    <row r="145" spans="1:27" s="335" customFormat="1" ht="50.1" customHeight="1">
      <c r="A145" s="3239">
        <v>25</v>
      </c>
      <c r="B145" s="3169">
        <v>8216612</v>
      </c>
      <c r="C145" s="3127"/>
      <c r="D145" s="3240" t="s">
        <v>1043</v>
      </c>
      <c r="E145" s="3173" t="s">
        <v>1022</v>
      </c>
      <c r="F145" s="3251">
        <v>65000</v>
      </c>
      <c r="G145" s="3083"/>
      <c r="H145" s="1476">
        <f t="shared" si="22"/>
        <v>65000</v>
      </c>
      <c r="I145" s="3252"/>
      <c r="J145" s="1332"/>
      <c r="K145" s="3081">
        <f t="shared" si="23"/>
        <v>0</v>
      </c>
      <c r="L145" s="345">
        <f t="shared" si="24"/>
        <v>0</v>
      </c>
      <c r="M145" s="331"/>
      <c r="N145" s="331"/>
      <c r="O145" s="331"/>
      <c r="P145" s="331"/>
      <c r="Q145" s="331"/>
      <c r="R145" s="331"/>
      <c r="S145" s="331"/>
      <c r="T145" s="334"/>
      <c r="U145" s="334"/>
      <c r="V145" s="334"/>
      <c r="W145" s="334"/>
      <c r="X145" s="334"/>
    </row>
    <row r="146" spans="1:27" s="335" customFormat="1" ht="50.1" customHeight="1">
      <c r="A146" s="3239">
        <v>26</v>
      </c>
      <c r="B146" s="3169">
        <v>821221</v>
      </c>
      <c r="C146" s="3127"/>
      <c r="D146" s="3240" t="s">
        <v>1044</v>
      </c>
      <c r="E146" s="3173" t="s">
        <v>1022</v>
      </c>
      <c r="F146" s="3251">
        <v>70000</v>
      </c>
      <c r="G146" s="3242"/>
      <c r="H146" s="1476">
        <f t="shared" si="22"/>
        <v>70000</v>
      </c>
      <c r="I146" s="3252"/>
      <c r="J146" s="3243"/>
      <c r="K146" s="3081">
        <f t="shared" si="23"/>
        <v>0</v>
      </c>
      <c r="L146" s="345">
        <f t="shared" si="24"/>
        <v>0</v>
      </c>
      <c r="M146" s="331"/>
      <c r="N146" s="331"/>
      <c r="O146" s="331"/>
      <c r="P146" s="331"/>
      <c r="Q146" s="331"/>
      <c r="R146" s="331"/>
      <c r="S146" s="331"/>
      <c r="T146" s="334"/>
      <c r="U146" s="334"/>
      <c r="V146" s="334"/>
      <c r="W146" s="334"/>
      <c r="X146" s="334"/>
    </row>
    <row r="147" spans="1:27" s="335" customFormat="1" ht="50.1" customHeight="1">
      <c r="A147" s="3239">
        <v>27</v>
      </c>
      <c r="B147" s="3169">
        <v>821224</v>
      </c>
      <c r="C147" s="3127"/>
      <c r="D147" s="3240" t="s">
        <v>1045</v>
      </c>
      <c r="E147" s="3173" t="s">
        <v>1022</v>
      </c>
      <c r="F147" s="3251">
        <v>20000</v>
      </c>
      <c r="G147" s="3242"/>
      <c r="H147" s="1476">
        <f t="shared" si="22"/>
        <v>20000</v>
      </c>
      <c r="I147" s="3252"/>
      <c r="J147" s="3243"/>
      <c r="K147" s="3081">
        <f t="shared" si="23"/>
        <v>0</v>
      </c>
      <c r="L147" s="345">
        <f t="shared" si="24"/>
        <v>0</v>
      </c>
      <c r="M147" s="331"/>
      <c r="N147" s="331"/>
      <c r="O147" s="331"/>
      <c r="P147" s="331"/>
      <c r="Q147" s="331"/>
      <c r="R147" s="331"/>
      <c r="S147" s="331"/>
      <c r="T147" s="334"/>
      <c r="U147" s="334"/>
      <c r="V147" s="334"/>
      <c r="W147" s="334"/>
      <c r="X147" s="334"/>
    </row>
    <row r="148" spans="1:27" s="335" customFormat="1" ht="50.1" customHeight="1">
      <c r="A148" s="3239">
        <v>28</v>
      </c>
      <c r="B148" s="3169">
        <v>821619</v>
      </c>
      <c r="C148" s="3127"/>
      <c r="D148" s="3240" t="s">
        <v>1046</v>
      </c>
      <c r="E148" s="3173" t="s">
        <v>1022</v>
      </c>
      <c r="F148" s="3251">
        <v>6000</v>
      </c>
      <c r="G148" s="3242"/>
      <c r="H148" s="1476">
        <f t="shared" si="22"/>
        <v>6000</v>
      </c>
      <c r="I148" s="3252"/>
      <c r="J148" s="3243"/>
      <c r="K148" s="3081">
        <f t="shared" si="23"/>
        <v>0</v>
      </c>
      <c r="L148" s="345">
        <f t="shared" si="24"/>
        <v>0</v>
      </c>
      <c r="M148" s="331"/>
      <c r="N148" s="331"/>
      <c r="O148" s="331"/>
      <c r="P148" s="331"/>
      <c r="Q148" s="331"/>
      <c r="R148" s="331"/>
      <c r="S148" s="331"/>
      <c r="T148" s="334"/>
      <c r="U148" s="334"/>
      <c r="V148" s="334"/>
      <c r="W148" s="334"/>
      <c r="X148" s="334"/>
    </row>
    <row r="149" spans="1:27" s="335" customFormat="1" ht="50.1" customHeight="1">
      <c r="A149" s="3239">
        <v>29</v>
      </c>
      <c r="B149" s="3169">
        <v>821213</v>
      </c>
      <c r="C149" s="3127"/>
      <c r="D149" s="3240" t="s">
        <v>1047</v>
      </c>
      <c r="E149" s="3173" t="s">
        <v>1022</v>
      </c>
      <c r="F149" s="3251">
        <v>10000</v>
      </c>
      <c r="G149" s="3242"/>
      <c r="H149" s="1476">
        <f t="shared" si="22"/>
        <v>10000</v>
      </c>
      <c r="I149" s="3252"/>
      <c r="J149" s="3243"/>
      <c r="K149" s="3081">
        <f t="shared" si="23"/>
        <v>0</v>
      </c>
      <c r="L149" s="345">
        <f t="shared" si="24"/>
        <v>0</v>
      </c>
      <c r="M149" s="331"/>
      <c r="N149" s="331"/>
      <c r="O149" s="331"/>
      <c r="P149" s="331"/>
      <c r="Q149" s="331"/>
      <c r="R149" s="331"/>
      <c r="S149" s="331"/>
      <c r="T149" s="334"/>
      <c r="U149" s="334"/>
      <c r="V149" s="334"/>
      <c r="W149" s="334"/>
      <c r="X149" s="334"/>
    </row>
    <row r="150" spans="1:27" s="335" customFormat="1" ht="50.1" customHeight="1">
      <c r="A150" s="3253">
        <v>30</v>
      </c>
      <c r="B150" s="3198">
        <v>821612</v>
      </c>
      <c r="C150" s="3136"/>
      <c r="D150" s="3254" t="s">
        <v>1048</v>
      </c>
      <c r="E150" s="3173" t="s">
        <v>1022</v>
      </c>
      <c r="F150" s="3255">
        <v>60000</v>
      </c>
      <c r="G150" s="3256"/>
      <c r="H150" s="3139">
        <f t="shared" si="22"/>
        <v>60000</v>
      </c>
      <c r="I150" s="3080"/>
      <c r="J150" s="3243"/>
      <c r="K150" s="3140">
        <f t="shared" si="23"/>
        <v>0</v>
      </c>
      <c r="L150" s="345">
        <f t="shared" si="24"/>
        <v>0</v>
      </c>
      <c r="M150" s="331"/>
      <c r="N150" s="331"/>
      <c r="O150" s="331"/>
      <c r="P150" s="331"/>
      <c r="Q150" s="331"/>
      <c r="R150" s="331"/>
      <c r="S150" s="331"/>
      <c r="T150" s="334"/>
      <c r="U150" s="334"/>
      <c r="V150" s="334"/>
      <c r="W150" s="334"/>
      <c r="X150" s="334"/>
    </row>
    <row r="151" spans="1:27" s="335" customFormat="1" ht="50.1" customHeight="1" thickBot="1">
      <c r="A151" s="3257">
        <v>31</v>
      </c>
      <c r="B151" s="3258"/>
      <c r="C151" s="3259"/>
      <c r="D151" s="3260" t="s">
        <v>1717</v>
      </c>
      <c r="E151" s="3173" t="s">
        <v>1022</v>
      </c>
      <c r="F151" s="3261"/>
      <c r="G151" s="3262">
        <v>2500</v>
      </c>
      <c r="H151" s="3263">
        <f t="shared" si="22"/>
        <v>2500</v>
      </c>
      <c r="I151" s="3205"/>
      <c r="J151" s="3264"/>
      <c r="K151" s="3261">
        <f t="shared" si="23"/>
        <v>0</v>
      </c>
      <c r="L151" s="345">
        <f t="shared" si="24"/>
        <v>0</v>
      </c>
      <c r="M151" s="331"/>
      <c r="N151" s="331"/>
      <c r="O151" s="331"/>
      <c r="P151" s="331"/>
      <c r="Q151" s="331"/>
      <c r="R151" s="331"/>
      <c r="S151" s="331"/>
      <c r="T151" s="334"/>
      <c r="U151" s="334"/>
      <c r="V151" s="334"/>
      <c r="W151" s="334"/>
      <c r="X151" s="334"/>
    </row>
    <row r="152" spans="1:27" ht="50.1" customHeight="1" thickBot="1">
      <c r="A152" s="3151"/>
      <c r="B152" s="3152"/>
      <c r="C152" s="3153"/>
      <c r="D152" s="3154"/>
      <c r="E152" s="3155"/>
      <c r="F152" s="3156"/>
      <c r="G152" s="3156"/>
      <c r="H152" s="3156"/>
      <c r="I152" s="3112"/>
      <c r="J152" s="3112"/>
      <c r="K152" s="3156"/>
      <c r="L152" s="345">
        <f t="shared" si="24"/>
        <v>0</v>
      </c>
      <c r="M152" s="326"/>
      <c r="N152" s="326"/>
      <c r="O152" s="326"/>
      <c r="P152" s="326"/>
      <c r="Q152" s="326"/>
      <c r="R152" s="326"/>
      <c r="S152" s="326"/>
      <c r="T152" s="275"/>
      <c r="U152" s="275"/>
      <c r="V152" s="275"/>
      <c r="Y152"/>
      <c r="Z152"/>
      <c r="AA152"/>
    </row>
    <row r="153" spans="1:27" ht="50.1" customHeight="1" thickTop="1">
      <c r="A153" s="3157" t="s">
        <v>0</v>
      </c>
      <c r="B153" s="3158"/>
      <c r="C153" s="3159"/>
      <c r="D153" s="3160" t="s">
        <v>1049</v>
      </c>
      <c r="E153" s="3238" t="s">
        <v>1050</v>
      </c>
      <c r="F153" s="3162">
        <f t="shared" ref="F153:K153" si="25">SUM(F154:F160)</f>
        <v>625215</v>
      </c>
      <c r="G153" s="3163">
        <f t="shared" si="25"/>
        <v>221070</v>
      </c>
      <c r="H153" s="3164">
        <f t="shared" si="25"/>
        <v>846285</v>
      </c>
      <c r="I153" s="3162">
        <f t="shared" si="25"/>
        <v>0</v>
      </c>
      <c r="J153" s="3163">
        <f t="shared" si="25"/>
        <v>160000</v>
      </c>
      <c r="K153" s="3165">
        <f t="shared" si="25"/>
        <v>160000</v>
      </c>
      <c r="L153" s="345">
        <f>'Rashodi i izdaci-poseban dio'!W366</f>
        <v>2150000</v>
      </c>
      <c r="M153" s="330">
        <f>'GP prihodi tab 13'!F50</f>
        <v>846285</v>
      </c>
      <c r="N153" s="330"/>
      <c r="O153" s="330"/>
      <c r="P153" s="330"/>
      <c r="Q153" s="330"/>
      <c r="R153" s="330"/>
      <c r="S153" s="330"/>
      <c r="T153" s="274">
        <f>'[13]BUDŽET 2021'!$N$894</f>
        <v>796284.72</v>
      </c>
      <c r="U153" s="274">
        <f>'[13]BUDŽET 2021'!$N$897</f>
        <v>625214.71999999997</v>
      </c>
      <c r="V153" s="274">
        <f>'[13]BUDŽET 2021'!$N$895</f>
        <v>171070</v>
      </c>
      <c r="W153" s="274">
        <f>V153+U153-T153</f>
        <v>0</v>
      </c>
      <c r="Y153"/>
      <c r="Z153"/>
      <c r="AA153"/>
    </row>
    <row r="154" spans="1:27" ht="50.1" customHeight="1">
      <c r="A154" s="3117">
        <v>1</v>
      </c>
      <c r="B154" s="3169">
        <v>821513</v>
      </c>
      <c r="C154" s="3127"/>
      <c r="D154" s="3195" t="s">
        <v>1051</v>
      </c>
      <c r="E154" s="3241" t="s">
        <v>1050</v>
      </c>
      <c r="F154" s="3078">
        <v>46333</v>
      </c>
      <c r="G154" s="3083"/>
      <c r="H154" s="1476">
        <f>SUM(F154:G154)</f>
        <v>46333</v>
      </c>
      <c r="I154" s="3080"/>
      <c r="J154" s="1332"/>
      <c r="K154" s="3081">
        <f>SUM(I154:J154)</f>
        <v>0</v>
      </c>
      <c r="L154" s="345">
        <f t="shared" si="24"/>
        <v>0</v>
      </c>
      <c r="M154" s="331">
        <f>'GP prihodi tab 13'!E50</f>
        <v>221070</v>
      </c>
      <c r="N154" s="331"/>
      <c r="O154" s="331"/>
      <c r="P154" s="331"/>
      <c r="Q154" s="331"/>
      <c r="R154" s="331"/>
      <c r="S154" s="331"/>
      <c r="T154" s="275"/>
      <c r="U154" s="275"/>
      <c r="V154" s="275"/>
      <c r="Y154"/>
      <c r="Z154"/>
      <c r="AA154"/>
    </row>
    <row r="155" spans="1:27" ht="50.1" customHeight="1">
      <c r="A155" s="3117">
        <v>2</v>
      </c>
      <c r="B155" s="3169">
        <v>821611</v>
      </c>
      <c r="C155" s="3127"/>
      <c r="D155" s="3076" t="s">
        <v>1339</v>
      </c>
      <c r="E155" s="3241" t="s">
        <v>1050</v>
      </c>
      <c r="F155" s="3078">
        <v>80000</v>
      </c>
      <c r="G155" s="3083">
        <v>30000</v>
      </c>
      <c r="H155" s="1476">
        <f t="shared" ref="H155:H157" si="26">SUM(F155:G155)</f>
        <v>110000</v>
      </c>
      <c r="I155" s="3080"/>
      <c r="J155" s="1332"/>
      <c r="K155" s="3081">
        <f t="shared" ref="K155:K159" si="27">SUM(I155:J155)</f>
        <v>0</v>
      </c>
      <c r="L155" s="345">
        <f t="shared" si="24"/>
        <v>0</v>
      </c>
      <c r="M155" s="331">
        <f>M154-G153</f>
        <v>0</v>
      </c>
      <c r="N155" s="331"/>
      <c r="O155" s="331"/>
      <c r="P155" s="331"/>
      <c r="Q155" s="331"/>
      <c r="R155" s="331"/>
      <c r="S155" s="331"/>
      <c r="T155" s="275"/>
      <c r="U155" s="275"/>
      <c r="V155" s="275"/>
      <c r="Y155"/>
      <c r="Z155"/>
      <c r="AA155"/>
    </row>
    <row r="156" spans="1:27" ht="50.1" customHeight="1">
      <c r="A156" s="3117">
        <v>3</v>
      </c>
      <c r="B156" s="3265"/>
      <c r="C156" s="3127"/>
      <c r="D156" s="3076" t="s">
        <v>1340</v>
      </c>
      <c r="E156" s="3241" t="s">
        <v>1050</v>
      </c>
      <c r="F156" s="3078">
        <v>30000</v>
      </c>
      <c r="G156" s="3083"/>
      <c r="H156" s="1476">
        <f t="shared" si="26"/>
        <v>30000</v>
      </c>
      <c r="I156" s="3080"/>
      <c r="J156" s="1332"/>
      <c r="K156" s="3081">
        <f t="shared" si="27"/>
        <v>0</v>
      </c>
      <c r="L156" s="345"/>
      <c r="M156" s="331"/>
      <c r="N156" s="331"/>
      <c r="O156" s="331"/>
      <c r="P156" s="331"/>
      <c r="Q156" s="331"/>
      <c r="R156" s="331"/>
      <c r="S156" s="331"/>
      <c r="T156" s="275"/>
      <c r="U156" s="275"/>
      <c r="V156" s="275"/>
      <c r="Y156"/>
      <c r="Z156"/>
      <c r="AA156"/>
    </row>
    <row r="157" spans="1:27" ht="50.1" customHeight="1">
      <c r="A157" s="3117">
        <v>4</v>
      </c>
      <c r="B157" s="3266"/>
      <c r="C157" s="3127"/>
      <c r="D157" s="3267" t="s">
        <v>1509</v>
      </c>
      <c r="E157" s="3241" t="s">
        <v>1050</v>
      </c>
      <c r="F157" s="3078">
        <v>37872</v>
      </c>
      <c r="G157" s="3268"/>
      <c r="H157" s="1476">
        <f t="shared" si="26"/>
        <v>37872</v>
      </c>
      <c r="I157" s="3080"/>
      <c r="J157" s="1332"/>
      <c r="K157" s="3081">
        <f t="shared" si="27"/>
        <v>0</v>
      </c>
      <c r="L157" s="345"/>
      <c r="M157" s="331"/>
      <c r="N157" s="331"/>
      <c r="O157" s="331"/>
      <c r="P157" s="331"/>
      <c r="Q157" s="331"/>
      <c r="R157" s="331"/>
      <c r="S157" s="331"/>
      <c r="T157" s="275"/>
      <c r="U157" s="275"/>
      <c r="V157" s="275"/>
      <c r="Y157"/>
      <c r="Z157"/>
      <c r="AA157"/>
    </row>
    <row r="158" spans="1:27" ht="50.1" customHeight="1" thickBot="1">
      <c r="A158" s="3117">
        <v>5</v>
      </c>
      <c r="B158" s="3269">
        <v>821222</v>
      </c>
      <c r="C158" s="3075"/>
      <c r="D158" s="3172" t="s">
        <v>1052</v>
      </c>
      <c r="E158" s="3270" t="s">
        <v>1050</v>
      </c>
      <c r="F158" s="3078">
        <v>431010</v>
      </c>
      <c r="G158" s="3083">
        <v>141070</v>
      </c>
      <c r="H158" s="3139">
        <f>SUM(F158:G158)</f>
        <v>572080</v>
      </c>
      <c r="I158" s="3080"/>
      <c r="J158" s="1332"/>
      <c r="K158" s="3081">
        <f t="shared" si="27"/>
        <v>0</v>
      </c>
      <c r="L158" s="345">
        <f t="shared" si="24"/>
        <v>0</v>
      </c>
      <c r="M158" s="331"/>
      <c r="N158" s="331"/>
      <c r="O158" s="331"/>
      <c r="P158" s="331"/>
      <c r="Q158" s="331"/>
      <c r="R158" s="331"/>
      <c r="S158" s="331"/>
      <c r="T158" s="275"/>
      <c r="U158" s="275"/>
      <c r="V158" s="275"/>
      <c r="Y158"/>
      <c r="Z158"/>
      <c r="AA158"/>
    </row>
    <row r="159" spans="1:27" ht="50.1" customHeight="1" thickTop="1">
      <c r="A159" s="3117">
        <v>6</v>
      </c>
      <c r="B159" s="3271"/>
      <c r="C159" s="3272"/>
      <c r="D159" s="3172" t="s">
        <v>1697</v>
      </c>
      <c r="E159" s="3270" t="s">
        <v>1050</v>
      </c>
      <c r="F159" s="3273"/>
      <c r="G159" s="3274"/>
      <c r="H159" s="3139"/>
      <c r="I159" s="3273"/>
      <c r="J159" s="3274">
        <v>160000</v>
      </c>
      <c r="K159" s="3081">
        <f t="shared" si="27"/>
        <v>160000</v>
      </c>
      <c r="L159" s="345"/>
      <c r="M159" s="331"/>
      <c r="N159" s="331"/>
      <c r="O159" s="331"/>
      <c r="P159" s="331"/>
      <c r="Q159" s="331"/>
      <c r="R159" s="331"/>
      <c r="S159" s="331"/>
      <c r="T159" s="275"/>
      <c r="U159" s="275"/>
      <c r="V159" s="275"/>
      <c r="Y159"/>
      <c r="Z159"/>
      <c r="AA159"/>
    </row>
    <row r="160" spans="1:27" s="335" customFormat="1" ht="50.1" customHeight="1" thickBot="1">
      <c r="A160" s="3275">
        <v>7</v>
      </c>
      <c r="B160" s="3276"/>
      <c r="C160" s="3277"/>
      <c r="D160" s="3278" t="s">
        <v>1053</v>
      </c>
      <c r="E160" s="3270" t="s">
        <v>1050</v>
      </c>
      <c r="F160" s="3279"/>
      <c r="G160" s="3280">
        <v>50000</v>
      </c>
      <c r="H160" s="3281">
        <f>F160+G160</f>
        <v>50000</v>
      </c>
      <c r="I160" s="3282"/>
      <c r="J160" s="3283"/>
      <c r="K160" s="3284">
        <f>I160+J160</f>
        <v>0</v>
      </c>
      <c r="L160" s="345">
        <f t="shared" si="24"/>
        <v>0</v>
      </c>
      <c r="M160" s="435"/>
      <c r="N160" s="435"/>
      <c r="O160" s="435"/>
      <c r="P160" s="435"/>
      <c r="Q160" s="435"/>
      <c r="R160" s="435"/>
      <c r="S160" s="435"/>
      <c r="T160" s="334"/>
      <c r="U160" s="334"/>
      <c r="V160" s="334"/>
      <c r="W160" s="334"/>
      <c r="X160" s="334"/>
    </row>
    <row r="161" spans="1:27" ht="50.1" customHeight="1" thickBot="1">
      <c r="A161" s="3151"/>
      <c r="B161" s="3152"/>
      <c r="C161" s="3153"/>
      <c r="D161" s="3154"/>
      <c r="E161" s="3155"/>
      <c r="F161" s="3156"/>
      <c r="G161" s="3156"/>
      <c r="H161" s="3156"/>
      <c r="I161" s="3112"/>
      <c r="J161" s="3112"/>
      <c r="K161" s="3156"/>
      <c r="L161" s="345">
        <f t="shared" si="24"/>
        <v>0</v>
      </c>
      <c r="M161" s="326"/>
      <c r="N161" s="326"/>
      <c r="O161" s="326"/>
      <c r="P161" s="326"/>
      <c r="Q161" s="326"/>
      <c r="R161" s="326"/>
      <c r="S161" s="326"/>
      <c r="T161" s="275"/>
      <c r="U161" s="275"/>
      <c r="V161" s="275"/>
      <c r="Y161"/>
      <c r="Z161"/>
      <c r="AA161"/>
    </row>
    <row r="162" spans="1:27" ht="50.1" customHeight="1" thickTop="1">
      <c r="A162" s="3157" t="s">
        <v>0</v>
      </c>
      <c r="B162" s="3158"/>
      <c r="C162" s="3159"/>
      <c r="D162" s="3206" t="s">
        <v>1054</v>
      </c>
      <c r="E162" s="3238" t="s">
        <v>1055</v>
      </c>
      <c r="F162" s="3162">
        <f>SUM(F163:F167)</f>
        <v>0</v>
      </c>
      <c r="G162" s="3163">
        <f>SUM(G163:G167)</f>
        <v>1243935</v>
      </c>
      <c r="H162" s="3164">
        <f t="shared" ref="H162:H167" si="28">F162+G162</f>
        <v>1243935</v>
      </c>
      <c r="I162" s="3162">
        <f>SUM(I163:I167)</f>
        <v>0</v>
      </c>
      <c r="J162" s="3163">
        <f>SUM(J163:J167)</f>
        <v>781167</v>
      </c>
      <c r="K162" s="3165">
        <f t="shared" ref="K162:K167" si="29">I162+J162</f>
        <v>781167</v>
      </c>
      <c r="L162" s="345">
        <f>'[1]PRIH REBALANS'!$AH$128</f>
        <v>781167</v>
      </c>
      <c r="M162" s="330">
        <f>'GP prihodi tab 13'!E57</f>
        <v>1243935</v>
      </c>
      <c r="N162" s="330" t="e">
        <f>G162+'GP KAPITA GRA'!#REF!</f>
        <v>#REF!</v>
      </c>
      <c r="O162" s="330"/>
      <c r="P162" s="330"/>
      <c r="Q162" s="330"/>
      <c r="R162" s="330"/>
      <c r="S162" s="330"/>
      <c r="T162" s="274">
        <f>'[14]BUDŽET 2021'!$N$895</f>
        <v>944560</v>
      </c>
      <c r="U162" s="275"/>
      <c r="V162" s="275"/>
      <c r="Y162"/>
      <c r="Z162"/>
      <c r="AA162"/>
    </row>
    <row r="163" spans="1:27" ht="50.1" customHeight="1">
      <c r="A163" s="3117">
        <v>1</v>
      </c>
      <c r="B163" s="3194"/>
      <c r="C163" s="3218"/>
      <c r="D163" s="3219" t="s">
        <v>1056</v>
      </c>
      <c r="E163" s="3241" t="s">
        <v>1055</v>
      </c>
      <c r="F163" s="3078"/>
      <c r="G163" s="3083">
        <v>12692</v>
      </c>
      <c r="H163" s="3170">
        <f t="shared" si="28"/>
        <v>12692</v>
      </c>
      <c r="I163" s="3080"/>
      <c r="J163" s="1332"/>
      <c r="K163" s="3171">
        <f t="shared" si="29"/>
        <v>0</v>
      </c>
      <c r="L163" s="345"/>
      <c r="M163" s="331">
        <f>M162-136000</f>
        <v>1107935</v>
      </c>
      <c r="N163" s="331"/>
      <c r="O163" s="331"/>
      <c r="P163" s="331"/>
      <c r="Q163" s="331"/>
      <c r="R163" s="331"/>
      <c r="S163" s="331"/>
      <c r="T163" s="275"/>
      <c r="U163" s="275"/>
      <c r="V163" s="275"/>
      <c r="Y163"/>
      <c r="Z163"/>
      <c r="AA163"/>
    </row>
    <row r="164" spans="1:27" ht="50.1" customHeight="1">
      <c r="A164" s="3117">
        <v>2</v>
      </c>
      <c r="B164" s="3194"/>
      <c r="C164" s="3218"/>
      <c r="D164" s="3219" t="s">
        <v>1180</v>
      </c>
      <c r="E164" s="3241" t="s">
        <v>1055</v>
      </c>
      <c r="F164" s="3078"/>
      <c r="G164" s="3285">
        <v>35000</v>
      </c>
      <c r="H164" s="3286">
        <f t="shared" si="28"/>
        <v>35000</v>
      </c>
      <c r="I164" s="3080"/>
      <c r="J164" s="1332"/>
      <c r="K164" s="3287">
        <f t="shared" si="29"/>
        <v>0</v>
      </c>
      <c r="L164" s="464">
        <f>L163-H162</f>
        <v>-1243935</v>
      </c>
      <c r="M164" s="331">
        <f>M163-G162</f>
        <v>-136000</v>
      </c>
      <c r="N164" s="331"/>
      <c r="O164" s="331"/>
      <c r="P164" s="331"/>
      <c r="Q164" s="331"/>
      <c r="R164" s="331"/>
      <c r="S164" s="331"/>
      <c r="T164" s="275"/>
      <c r="U164" s="275"/>
      <c r="V164" s="275"/>
      <c r="Y164"/>
      <c r="Z164"/>
      <c r="AA164"/>
    </row>
    <row r="165" spans="1:27" ht="50.1" customHeight="1">
      <c r="A165" s="3239">
        <v>3</v>
      </c>
      <c r="B165" s="3169">
        <v>821513</v>
      </c>
      <c r="C165" s="3127"/>
      <c r="D165" s="3219" t="s">
        <v>952</v>
      </c>
      <c r="E165" s="3241" t="s">
        <v>1055</v>
      </c>
      <c r="F165" s="3078"/>
      <c r="G165" s="3268">
        <v>600000</v>
      </c>
      <c r="H165" s="1476">
        <f t="shared" si="28"/>
        <v>600000</v>
      </c>
      <c r="I165" s="3080"/>
      <c r="J165" s="1332">
        <v>650000</v>
      </c>
      <c r="K165" s="3288">
        <f t="shared" si="29"/>
        <v>650000</v>
      </c>
      <c r="L165" s="345">
        <f>L162-J165</f>
        <v>131167</v>
      </c>
      <c r="M165" s="331"/>
      <c r="N165" s="331"/>
      <c r="O165" s="331"/>
      <c r="P165" s="331"/>
      <c r="Q165" s="331"/>
      <c r="R165" s="331"/>
      <c r="S165" s="331"/>
      <c r="T165" s="275"/>
      <c r="U165" s="275"/>
      <c r="V165" s="275"/>
      <c r="Y165"/>
      <c r="Z165"/>
      <c r="AA165"/>
    </row>
    <row r="166" spans="1:27" ht="50.1" customHeight="1">
      <c r="A166" s="3239">
        <v>4</v>
      </c>
      <c r="B166" s="3169"/>
      <c r="C166" s="3127"/>
      <c r="D166" s="3219" t="s">
        <v>1212</v>
      </c>
      <c r="E166" s="3241" t="s">
        <v>1055</v>
      </c>
      <c r="F166" s="3078"/>
      <c r="G166" s="3268">
        <v>550617</v>
      </c>
      <c r="H166" s="1476">
        <f t="shared" ref="H166" si="30">F166+G166</f>
        <v>550617</v>
      </c>
      <c r="I166" s="3080"/>
      <c r="J166" s="1332"/>
      <c r="K166" s="3288">
        <f t="shared" si="29"/>
        <v>0</v>
      </c>
      <c r="L166" s="345">
        <f>G166+136000</f>
        <v>686617</v>
      </c>
      <c r="M166" s="331"/>
      <c r="N166" s="331"/>
      <c r="O166" s="331"/>
      <c r="P166" s="331"/>
      <c r="Q166" s="331"/>
      <c r="R166" s="331"/>
      <c r="S166" s="331"/>
      <c r="T166" s="275"/>
      <c r="U166" s="275"/>
      <c r="V166" s="275"/>
      <c r="Y166"/>
      <c r="Z166"/>
      <c r="AA166"/>
    </row>
    <row r="167" spans="1:27" ht="50.1" customHeight="1" thickBot="1">
      <c r="A167" s="3289">
        <v>5</v>
      </c>
      <c r="B167" s="3290"/>
      <c r="C167" s="3291"/>
      <c r="D167" s="3292" t="s">
        <v>1336</v>
      </c>
      <c r="E167" s="3241" t="s">
        <v>1055</v>
      </c>
      <c r="F167" s="3202"/>
      <c r="G167" s="3293">
        <v>45626</v>
      </c>
      <c r="H167" s="3148">
        <f t="shared" si="28"/>
        <v>45626</v>
      </c>
      <c r="I167" s="3205"/>
      <c r="J167" s="1443">
        <v>131167</v>
      </c>
      <c r="K167" s="3294">
        <f t="shared" si="29"/>
        <v>131167</v>
      </c>
      <c r="L167" s="345">
        <f t="shared" si="24"/>
        <v>0</v>
      </c>
      <c r="M167" s="331"/>
      <c r="N167" s="331"/>
      <c r="O167" s="331"/>
      <c r="P167" s="331"/>
      <c r="Q167" s="331"/>
      <c r="R167" s="331"/>
      <c r="S167" s="331"/>
      <c r="T167" s="275"/>
      <c r="U167" s="275"/>
      <c r="V167" s="275"/>
      <c r="Y167"/>
      <c r="Z167"/>
      <c r="AA167"/>
    </row>
    <row r="168" spans="1:27" ht="50.1" customHeight="1" thickTop="1">
      <c r="G168" s="688" t="e">
        <f>'GP KAPITA GRA'!#REF!</f>
        <v>#REF!</v>
      </c>
      <c r="J168" s="688">
        <f>J162-J165</f>
        <v>131167</v>
      </c>
      <c r="L168" s="346"/>
    </row>
    <row r="169" spans="1:27" ht="50.1" customHeight="1">
      <c r="G169" s="688" t="e">
        <f>G166-G168</f>
        <v>#REF!</v>
      </c>
    </row>
  </sheetData>
  <phoneticPr fontId="34" type="noConversion"/>
  <pageMargins left="0.70866141732283472" right="0.70866141732283472" top="0.74803149606299213" bottom="0.74803149606299213" header="0.31496062992125984" footer="0.31496062992125984"/>
  <pageSetup paperSize="9" scale="36" orientation="landscape" r:id="rId1"/>
  <headerFooter>
    <oddFooter>&amp;L&amp;"Times New Roman,Uobičajeno"&amp;14&amp;K00-013 Budžet Grada Mostara za 2022
- Služba izgradnju infrastrukturnih objekata&amp;C&amp;"Times New Roman,Uobičajeno"&amp;14&amp;P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8"/>
  <dimension ref="A1:DG1317"/>
  <sheetViews>
    <sheetView view="pageBreakPreview" zoomScale="40" zoomScaleNormal="100" zoomScaleSheetLayoutView="40" workbookViewId="0">
      <selection activeCell="C6" sqref="C6"/>
    </sheetView>
  </sheetViews>
  <sheetFormatPr defaultRowHeight="32.25"/>
  <cols>
    <col min="1" max="1" width="23.85546875" style="2117" customWidth="1"/>
    <col min="2" max="2" width="77.7109375" style="2117" customWidth="1"/>
    <col min="3" max="3" width="45.85546875" style="2119" customWidth="1"/>
    <col min="4" max="9" width="27.7109375" style="2117" customWidth="1"/>
    <col min="10" max="10" width="27.7109375" style="2120" customWidth="1"/>
    <col min="11" max="12" width="27.7109375" style="2121" customWidth="1"/>
    <col min="13" max="13" width="19.140625" style="325" customWidth="1"/>
    <col min="14" max="111" width="9.140625" style="325"/>
  </cols>
  <sheetData>
    <row r="1" spans="1:111" ht="44.25" customHeight="1" thickBot="1">
      <c r="B1" s="2118" t="s">
        <v>1504</v>
      </c>
    </row>
    <row r="2" spans="1:111" ht="93" thickTop="1">
      <c r="A2" s="2122" t="s">
        <v>0</v>
      </c>
      <c r="B2" s="2123" t="s">
        <v>896</v>
      </c>
      <c r="C2" s="2124" t="s">
        <v>1645</v>
      </c>
      <c r="D2" s="2124" t="s">
        <v>1311</v>
      </c>
      <c r="E2" s="2125" t="s">
        <v>1313</v>
      </c>
      <c r="F2" s="2126" t="s">
        <v>606</v>
      </c>
      <c r="G2" s="2124" t="s">
        <v>1311</v>
      </c>
      <c r="H2" s="2125" t="s">
        <v>1702</v>
      </c>
      <c r="I2" s="2126" t="s">
        <v>606</v>
      </c>
      <c r="J2" s="2124" t="s">
        <v>1311</v>
      </c>
      <c r="K2" s="2125" t="s">
        <v>1716</v>
      </c>
      <c r="L2" s="2127" t="s">
        <v>606</v>
      </c>
    </row>
    <row r="3" spans="1:111" ht="31.5">
      <c r="A3" s="2128"/>
      <c r="B3" s="2129"/>
      <c r="C3" s="2130"/>
      <c r="D3" s="2131">
        <v>1</v>
      </c>
      <c r="E3" s="2132">
        <v>2</v>
      </c>
      <c r="F3" s="2133" t="s">
        <v>1666</v>
      </c>
      <c r="G3" s="2131">
        <v>4</v>
      </c>
      <c r="H3" s="2132">
        <v>5</v>
      </c>
      <c r="I3" s="2133" t="s">
        <v>1667</v>
      </c>
      <c r="J3" s="2131">
        <v>7</v>
      </c>
      <c r="K3" s="2132">
        <v>8</v>
      </c>
      <c r="L3" s="2134" t="s">
        <v>1703</v>
      </c>
    </row>
    <row r="4" spans="1:111" ht="112.9" customHeight="1">
      <c r="A4" s="2128"/>
      <c r="B4" s="2135" t="s">
        <v>464</v>
      </c>
      <c r="C4" s="2130"/>
      <c r="D4" s="2136"/>
      <c r="E4" s="2137"/>
      <c r="F4" s="2138"/>
      <c r="G4" s="2136"/>
      <c r="H4" s="2137"/>
      <c r="I4" s="2138"/>
      <c r="J4" s="2136"/>
      <c r="K4" s="2137"/>
      <c r="L4" s="2139"/>
    </row>
    <row r="5" spans="1:111" ht="115.15" customHeight="1">
      <c r="A5" s="2140"/>
      <c r="B5" s="2141" t="s">
        <v>479</v>
      </c>
      <c r="C5" s="2130"/>
      <c r="D5" s="2136">
        <f>D6+D8</f>
        <v>20000</v>
      </c>
      <c r="E5" s="2137">
        <f>SUM(E6:E8)</f>
        <v>265000</v>
      </c>
      <c r="F5" s="2138">
        <f>SUM(F6,F8)</f>
        <v>285000</v>
      </c>
      <c r="G5" s="2136">
        <f>G6+G8</f>
        <v>0</v>
      </c>
      <c r="H5" s="2137">
        <f>SUM(H6:H8)</f>
        <v>0</v>
      </c>
      <c r="I5" s="2138">
        <f>SUM(I6,I8)</f>
        <v>0</v>
      </c>
      <c r="J5" s="2136">
        <f>J6+J8</f>
        <v>0</v>
      </c>
      <c r="K5" s="2137">
        <f>SUM(K6:K8)</f>
        <v>0</v>
      </c>
      <c r="L5" s="2139">
        <f>SUM(L6,L8)</f>
        <v>0</v>
      </c>
    </row>
    <row r="6" spans="1:111" s="495" customFormat="1" ht="79.150000000000006" customHeight="1">
      <c r="A6" s="2142">
        <v>1</v>
      </c>
      <c r="B6" s="2143" t="s">
        <v>103</v>
      </c>
      <c r="C6" s="2144" t="s">
        <v>1328</v>
      </c>
      <c r="D6" s="2145">
        <f>D7</f>
        <v>20000</v>
      </c>
      <c r="E6" s="2146">
        <f>E7</f>
        <v>0</v>
      </c>
      <c r="F6" s="2147">
        <f>SUM(D6:E6)</f>
        <v>20000</v>
      </c>
      <c r="G6" s="2145">
        <f>G7</f>
        <v>0</v>
      </c>
      <c r="H6" s="2146">
        <f>H7</f>
        <v>0</v>
      </c>
      <c r="I6" s="2147">
        <f>SUM(G6:H6)</f>
        <v>0</v>
      </c>
      <c r="J6" s="2145">
        <f>J7</f>
        <v>0</v>
      </c>
      <c r="K6" s="2146">
        <f>K7</f>
        <v>0</v>
      </c>
      <c r="L6" s="2148">
        <f>SUM(J6:K6)</f>
        <v>0</v>
      </c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502"/>
      <c r="AC6" s="502"/>
      <c r="AD6" s="502"/>
      <c r="AE6" s="502"/>
      <c r="AF6" s="502"/>
      <c r="AG6" s="502"/>
      <c r="AH6" s="502"/>
      <c r="AI6" s="502"/>
      <c r="AJ6" s="502"/>
      <c r="AK6" s="502"/>
      <c r="AL6" s="502"/>
      <c r="AM6" s="502"/>
      <c r="AN6" s="502"/>
      <c r="AO6" s="502"/>
      <c r="AP6" s="502"/>
      <c r="AQ6" s="502"/>
      <c r="AR6" s="502"/>
      <c r="AS6" s="502"/>
      <c r="AT6" s="502"/>
      <c r="AU6" s="502"/>
      <c r="AV6" s="502"/>
      <c r="AW6" s="502"/>
      <c r="AX6" s="502"/>
      <c r="AY6" s="502"/>
      <c r="AZ6" s="502"/>
      <c r="BA6" s="502"/>
      <c r="BB6" s="502"/>
      <c r="BC6" s="502"/>
      <c r="BD6" s="502"/>
      <c r="BE6" s="502"/>
      <c r="BF6" s="502"/>
      <c r="BG6" s="502"/>
      <c r="BH6" s="502"/>
      <c r="BI6" s="502"/>
      <c r="BJ6" s="502"/>
      <c r="BK6" s="502"/>
      <c r="BL6" s="502"/>
      <c r="BM6" s="502"/>
      <c r="BN6" s="502"/>
      <c r="BO6" s="502"/>
      <c r="BP6" s="502"/>
      <c r="BQ6" s="502"/>
      <c r="BR6" s="502"/>
      <c r="BS6" s="502"/>
      <c r="BT6" s="502"/>
      <c r="BU6" s="502"/>
      <c r="BV6" s="502"/>
      <c r="BW6" s="502"/>
      <c r="BX6" s="502"/>
      <c r="BY6" s="502"/>
      <c r="BZ6" s="502"/>
      <c r="CA6" s="502"/>
      <c r="CB6" s="502"/>
      <c r="CC6" s="502"/>
      <c r="CD6" s="502"/>
      <c r="CE6" s="502"/>
      <c r="CF6" s="502"/>
      <c r="CG6" s="502"/>
      <c r="CH6" s="502"/>
      <c r="CI6" s="502"/>
      <c r="CJ6" s="502"/>
      <c r="CK6" s="502"/>
      <c r="CL6" s="502"/>
      <c r="CM6" s="502"/>
      <c r="CN6" s="502"/>
      <c r="CO6" s="502"/>
      <c r="CP6" s="502"/>
      <c r="CQ6" s="502"/>
      <c r="CR6" s="502"/>
      <c r="CS6" s="502"/>
      <c r="CT6" s="502"/>
      <c r="CU6" s="502"/>
      <c r="CV6" s="502"/>
      <c r="CW6" s="502"/>
      <c r="CX6" s="502"/>
      <c r="CY6" s="502"/>
      <c r="CZ6" s="502"/>
      <c r="DA6" s="502"/>
      <c r="DB6" s="502"/>
      <c r="DC6" s="502"/>
      <c r="DD6" s="502"/>
      <c r="DE6" s="502"/>
      <c r="DF6" s="502"/>
      <c r="DG6" s="502"/>
    </row>
    <row r="7" spans="1:111" ht="79.150000000000006" customHeight="1">
      <c r="A7" s="2149">
        <v>2</v>
      </c>
      <c r="B7" s="2150" t="s">
        <v>1329</v>
      </c>
      <c r="C7" s="2151" t="s">
        <v>1328</v>
      </c>
      <c r="D7" s="2152">
        <v>20000</v>
      </c>
      <c r="E7" s="2153"/>
      <c r="F7" s="2154">
        <f t="shared" ref="F7:F12" si="0">SUM(D7:E7)</f>
        <v>20000</v>
      </c>
      <c r="G7" s="2152"/>
      <c r="H7" s="2153"/>
      <c r="I7" s="2154">
        <f t="shared" ref="I7:I12" si="1">SUM(G7:H7)</f>
        <v>0</v>
      </c>
      <c r="J7" s="2152"/>
      <c r="K7" s="2153"/>
      <c r="L7" s="2155">
        <f t="shared" ref="L7:L12" si="2">SUM(J7:K7)</f>
        <v>0</v>
      </c>
    </row>
    <row r="8" spans="1:111" s="495" customFormat="1" ht="79.150000000000006" customHeight="1">
      <c r="A8" s="2142">
        <v>3</v>
      </c>
      <c r="B8" s="2156" t="s">
        <v>107</v>
      </c>
      <c r="C8" s="2144" t="s">
        <v>1328</v>
      </c>
      <c r="D8" s="2145">
        <f>SUM(D10:D12)</f>
        <v>0</v>
      </c>
      <c r="E8" s="2146">
        <f>SUM(E10:E12)</f>
        <v>265000</v>
      </c>
      <c r="F8" s="2147">
        <f t="shared" si="0"/>
        <v>265000</v>
      </c>
      <c r="G8" s="2145">
        <f>SUM(G10:G12)</f>
        <v>0</v>
      </c>
      <c r="H8" s="2146">
        <f>SUM(H10:H12)</f>
        <v>0</v>
      </c>
      <c r="I8" s="2147">
        <f t="shared" si="1"/>
        <v>0</v>
      </c>
      <c r="J8" s="2145">
        <f>SUM(J10:J12)</f>
        <v>0</v>
      </c>
      <c r="K8" s="2146">
        <f>SUM(K9:K12)</f>
        <v>0</v>
      </c>
      <c r="L8" s="2148">
        <f t="shared" si="2"/>
        <v>0</v>
      </c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/>
      <c r="X8" s="502"/>
      <c r="Y8" s="502"/>
      <c r="Z8" s="502"/>
      <c r="AA8" s="502"/>
      <c r="AB8" s="502"/>
      <c r="AC8" s="502"/>
      <c r="AD8" s="502"/>
      <c r="AE8" s="502"/>
      <c r="AF8" s="502"/>
      <c r="AG8" s="502"/>
      <c r="AH8" s="502"/>
      <c r="AI8" s="502"/>
      <c r="AJ8" s="502"/>
      <c r="AK8" s="502"/>
      <c r="AL8" s="502"/>
      <c r="AM8" s="502"/>
      <c r="AN8" s="502"/>
      <c r="AO8" s="502"/>
      <c r="AP8" s="502"/>
      <c r="AQ8" s="502"/>
      <c r="AR8" s="502"/>
      <c r="AS8" s="502"/>
      <c r="AT8" s="502"/>
      <c r="AU8" s="502"/>
      <c r="AV8" s="502"/>
      <c r="AW8" s="502"/>
      <c r="AX8" s="502"/>
      <c r="AY8" s="502"/>
      <c r="AZ8" s="502"/>
      <c r="BA8" s="502"/>
      <c r="BB8" s="502"/>
      <c r="BC8" s="502"/>
      <c r="BD8" s="502"/>
      <c r="BE8" s="502"/>
      <c r="BF8" s="502"/>
      <c r="BG8" s="502"/>
      <c r="BH8" s="502"/>
      <c r="BI8" s="502"/>
      <c r="BJ8" s="502"/>
      <c r="BK8" s="502"/>
      <c r="BL8" s="502"/>
      <c r="BM8" s="502"/>
      <c r="BN8" s="502"/>
      <c r="BO8" s="502"/>
      <c r="BP8" s="502"/>
      <c r="BQ8" s="502"/>
      <c r="BR8" s="502"/>
      <c r="BS8" s="502"/>
      <c r="BT8" s="502"/>
      <c r="BU8" s="502"/>
      <c r="BV8" s="502"/>
      <c r="BW8" s="502"/>
      <c r="BX8" s="502"/>
      <c r="BY8" s="502"/>
      <c r="BZ8" s="502"/>
      <c r="CA8" s="502"/>
      <c r="CB8" s="502"/>
      <c r="CC8" s="502"/>
      <c r="CD8" s="502"/>
      <c r="CE8" s="502"/>
      <c r="CF8" s="502"/>
      <c r="CG8" s="502"/>
      <c r="CH8" s="502"/>
      <c r="CI8" s="502"/>
      <c r="CJ8" s="502"/>
      <c r="CK8" s="502"/>
      <c r="CL8" s="502"/>
      <c r="CM8" s="502"/>
      <c r="CN8" s="502"/>
      <c r="CO8" s="502"/>
      <c r="CP8" s="502"/>
      <c r="CQ8" s="502"/>
      <c r="CR8" s="502"/>
      <c r="CS8" s="502"/>
      <c r="CT8" s="502"/>
      <c r="CU8" s="502"/>
      <c r="CV8" s="502"/>
      <c r="CW8" s="502"/>
      <c r="CX8" s="502"/>
      <c r="CY8" s="502"/>
      <c r="CZ8" s="502"/>
      <c r="DA8" s="502"/>
      <c r="DB8" s="502"/>
      <c r="DC8" s="502"/>
      <c r="DD8" s="502"/>
      <c r="DE8" s="502"/>
      <c r="DF8" s="502"/>
      <c r="DG8" s="502"/>
    </row>
    <row r="9" spans="1:111" s="495" customFormat="1" ht="79.150000000000006" customHeight="1">
      <c r="A9" s="2142"/>
      <c r="B9" s="2400" t="s">
        <v>1694</v>
      </c>
      <c r="C9" s="2151"/>
      <c r="D9" s="2152"/>
      <c r="E9" s="2153"/>
      <c r="F9" s="2154"/>
      <c r="G9" s="2152"/>
      <c r="H9" s="2153"/>
      <c r="I9" s="2154"/>
      <c r="J9" s="2152"/>
      <c r="K9" s="2153"/>
      <c r="L9" s="2155">
        <f t="shared" si="2"/>
        <v>0</v>
      </c>
      <c r="M9" s="502"/>
      <c r="N9" s="502"/>
      <c r="O9" s="502"/>
      <c r="P9" s="502"/>
      <c r="Q9" s="502"/>
      <c r="R9" s="502"/>
      <c r="S9" s="502"/>
      <c r="T9" s="502"/>
      <c r="U9" s="502"/>
      <c r="V9" s="502"/>
      <c r="W9" s="502"/>
      <c r="X9" s="502"/>
      <c r="Y9" s="502"/>
      <c r="Z9" s="502"/>
      <c r="AA9" s="502"/>
      <c r="AB9" s="502"/>
      <c r="AC9" s="502"/>
      <c r="AD9" s="502"/>
      <c r="AE9" s="502"/>
      <c r="AF9" s="502"/>
      <c r="AG9" s="502"/>
      <c r="AH9" s="502"/>
      <c r="AI9" s="502"/>
      <c r="AJ9" s="502"/>
      <c r="AK9" s="502"/>
      <c r="AL9" s="502"/>
      <c r="AM9" s="502"/>
      <c r="AN9" s="502"/>
      <c r="AO9" s="502"/>
      <c r="AP9" s="502"/>
      <c r="AQ9" s="502"/>
      <c r="AR9" s="502"/>
      <c r="AS9" s="502"/>
      <c r="AT9" s="502"/>
      <c r="AU9" s="502"/>
      <c r="AV9" s="502"/>
      <c r="AW9" s="502"/>
      <c r="AX9" s="502"/>
      <c r="AY9" s="502"/>
      <c r="AZ9" s="502"/>
      <c r="BA9" s="502"/>
      <c r="BB9" s="502"/>
      <c r="BC9" s="502"/>
      <c r="BD9" s="502"/>
      <c r="BE9" s="502"/>
      <c r="BF9" s="502"/>
      <c r="BG9" s="502"/>
      <c r="BH9" s="502"/>
      <c r="BI9" s="502"/>
      <c r="BJ9" s="502"/>
      <c r="BK9" s="502"/>
      <c r="BL9" s="502"/>
      <c r="BM9" s="502"/>
      <c r="BN9" s="502"/>
      <c r="BO9" s="502"/>
      <c r="BP9" s="502"/>
      <c r="BQ9" s="502"/>
      <c r="BR9" s="502"/>
      <c r="BS9" s="502"/>
      <c r="BT9" s="502"/>
      <c r="BU9" s="502"/>
      <c r="BV9" s="502"/>
      <c r="BW9" s="502"/>
      <c r="BX9" s="502"/>
      <c r="BY9" s="502"/>
      <c r="BZ9" s="502"/>
      <c r="CA9" s="502"/>
      <c r="CB9" s="502"/>
      <c r="CC9" s="502"/>
      <c r="CD9" s="502"/>
      <c r="CE9" s="502"/>
      <c r="CF9" s="502"/>
      <c r="CG9" s="502"/>
      <c r="CH9" s="502"/>
      <c r="CI9" s="502"/>
      <c r="CJ9" s="502"/>
      <c r="CK9" s="502"/>
      <c r="CL9" s="502"/>
      <c r="CM9" s="502"/>
      <c r="CN9" s="502"/>
      <c r="CO9" s="502"/>
      <c r="CP9" s="502"/>
      <c r="CQ9" s="502"/>
      <c r="CR9" s="502"/>
      <c r="CS9" s="502"/>
      <c r="CT9" s="502"/>
      <c r="CU9" s="502"/>
      <c r="CV9" s="502"/>
      <c r="CW9" s="502"/>
      <c r="CX9" s="502"/>
      <c r="CY9" s="502"/>
      <c r="CZ9" s="502"/>
      <c r="DA9" s="502"/>
      <c r="DB9" s="502"/>
      <c r="DC9" s="502"/>
      <c r="DD9" s="502"/>
      <c r="DE9" s="502"/>
      <c r="DF9" s="502"/>
      <c r="DG9" s="502"/>
    </row>
    <row r="10" spans="1:111" ht="79.150000000000006" customHeight="1">
      <c r="A10" s="2149">
        <v>4</v>
      </c>
      <c r="B10" s="2157" t="s">
        <v>1330</v>
      </c>
      <c r="C10" s="2151" t="s">
        <v>1328</v>
      </c>
      <c r="D10" s="2152"/>
      <c r="E10" s="2153">
        <v>200000</v>
      </c>
      <c r="F10" s="2154">
        <f t="shared" si="0"/>
        <v>200000</v>
      </c>
      <c r="G10" s="2152"/>
      <c r="H10" s="2153"/>
      <c r="I10" s="2154">
        <f t="shared" si="1"/>
        <v>0</v>
      </c>
      <c r="J10" s="2152"/>
      <c r="K10" s="2153"/>
      <c r="L10" s="2155">
        <f t="shared" si="2"/>
        <v>0</v>
      </c>
    </row>
    <row r="11" spans="1:111" ht="79.150000000000006" customHeight="1">
      <c r="A11" s="2149">
        <v>5</v>
      </c>
      <c r="B11" s="2150" t="s">
        <v>1331</v>
      </c>
      <c r="C11" s="2151" t="s">
        <v>1328</v>
      </c>
      <c r="D11" s="2152"/>
      <c r="E11" s="2153">
        <v>50000</v>
      </c>
      <c r="F11" s="2154">
        <f t="shared" si="0"/>
        <v>50000</v>
      </c>
      <c r="G11" s="2152"/>
      <c r="H11" s="2153"/>
      <c r="I11" s="2154">
        <f t="shared" si="1"/>
        <v>0</v>
      </c>
      <c r="J11" s="2152"/>
      <c r="K11" s="2153"/>
      <c r="L11" s="2155">
        <f t="shared" si="2"/>
        <v>0</v>
      </c>
    </row>
    <row r="12" spans="1:111" ht="79.150000000000006" customHeight="1">
      <c r="A12" s="2149">
        <v>6</v>
      </c>
      <c r="B12" s="2158" t="s">
        <v>1332</v>
      </c>
      <c r="C12" s="2151" t="s">
        <v>1328</v>
      </c>
      <c r="D12" s="2152"/>
      <c r="E12" s="2153">
        <v>15000</v>
      </c>
      <c r="F12" s="2154">
        <f t="shared" si="0"/>
        <v>15000</v>
      </c>
      <c r="G12" s="2152"/>
      <c r="H12" s="2153"/>
      <c r="I12" s="2154">
        <f t="shared" si="1"/>
        <v>0</v>
      </c>
      <c r="J12" s="2152"/>
      <c r="K12" s="2153"/>
      <c r="L12" s="2155">
        <f t="shared" si="2"/>
        <v>0</v>
      </c>
    </row>
    <row r="13" spans="1:111" s="496" customFormat="1" thickBot="1">
      <c r="A13" s="2159"/>
      <c r="B13" s="2160"/>
      <c r="C13" s="2161"/>
      <c r="D13" s="2162"/>
      <c r="E13" s="2163"/>
      <c r="F13" s="2164"/>
      <c r="G13" s="2162"/>
      <c r="H13" s="2163"/>
      <c r="I13" s="2164"/>
      <c r="J13" s="2162"/>
      <c r="K13" s="2163"/>
      <c r="L13" s="216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325"/>
      <c r="DA13" s="325"/>
      <c r="DB13" s="325"/>
      <c r="DC13" s="325"/>
      <c r="DD13" s="325"/>
      <c r="DE13" s="325"/>
      <c r="DF13" s="325"/>
      <c r="DG13" s="325"/>
    </row>
    <row r="14" spans="1:111" ht="33" thickTop="1">
      <c r="F14" s="2166"/>
      <c r="G14" s="2166"/>
      <c r="H14" s="2166"/>
      <c r="I14" s="2166"/>
      <c r="J14" s="2167"/>
    </row>
    <row r="15" spans="1:111">
      <c r="F15" s="2168"/>
      <c r="G15" s="2168"/>
      <c r="H15" s="2168"/>
      <c r="I15" s="2168"/>
      <c r="J15" s="2121"/>
    </row>
    <row r="16" spans="1:111">
      <c r="F16" s="2168"/>
      <c r="G16" s="2168"/>
      <c r="H16" s="2168"/>
      <c r="I16" s="2168"/>
      <c r="J16" s="2121"/>
    </row>
    <row r="17" spans="6:10">
      <c r="F17" s="2168"/>
      <c r="G17" s="2168"/>
      <c r="H17" s="2168"/>
      <c r="I17" s="2168"/>
      <c r="J17" s="2121"/>
    </row>
    <row r="18" spans="6:10">
      <c r="F18" s="2168"/>
      <c r="G18" s="2168"/>
      <c r="H18" s="2168"/>
      <c r="I18" s="2168"/>
      <c r="J18" s="2121"/>
    </row>
    <row r="19" spans="6:10">
      <c r="F19" s="2168"/>
      <c r="G19" s="2168"/>
      <c r="H19" s="2168"/>
      <c r="I19" s="2168"/>
      <c r="J19" s="2121"/>
    </row>
    <row r="20" spans="6:10">
      <c r="F20" s="2168"/>
      <c r="G20" s="2168"/>
      <c r="H20" s="2168"/>
      <c r="I20" s="2168"/>
      <c r="J20" s="2121"/>
    </row>
    <row r="21" spans="6:10">
      <c r="F21" s="2168"/>
      <c r="G21" s="2168"/>
      <c r="H21" s="2168"/>
      <c r="I21" s="2168"/>
      <c r="J21" s="2121"/>
    </row>
    <row r="22" spans="6:10">
      <c r="F22" s="2168"/>
      <c r="G22" s="2168"/>
      <c r="H22" s="2168"/>
      <c r="I22" s="2168"/>
      <c r="J22" s="2121"/>
    </row>
    <row r="23" spans="6:10">
      <c r="F23" s="2168"/>
      <c r="G23" s="2168"/>
      <c r="H23" s="2168"/>
      <c r="I23" s="2168"/>
      <c r="J23" s="2121"/>
    </row>
    <row r="24" spans="6:10">
      <c r="F24" s="2168"/>
      <c r="G24" s="2168"/>
      <c r="H24" s="2168"/>
      <c r="I24" s="2168"/>
      <c r="J24" s="2121"/>
    </row>
    <row r="25" spans="6:10">
      <c r="F25" s="2168"/>
      <c r="G25" s="2168"/>
      <c r="H25" s="2168"/>
      <c r="I25" s="2168"/>
      <c r="J25" s="2121"/>
    </row>
    <row r="26" spans="6:10">
      <c r="F26" s="2168"/>
      <c r="G26" s="2168"/>
      <c r="H26" s="2168"/>
      <c r="I26" s="2168"/>
      <c r="J26" s="2121"/>
    </row>
    <row r="27" spans="6:10">
      <c r="F27" s="2168"/>
      <c r="G27" s="2168"/>
      <c r="H27" s="2168"/>
      <c r="I27" s="2168"/>
      <c r="J27" s="2121"/>
    </row>
    <row r="28" spans="6:10">
      <c r="F28" s="2168"/>
      <c r="G28" s="2168"/>
      <c r="H28" s="2168"/>
      <c r="I28" s="2168"/>
      <c r="J28" s="2121"/>
    </row>
    <row r="29" spans="6:10">
      <c r="F29" s="2168"/>
      <c r="G29" s="2168"/>
      <c r="H29" s="2168"/>
      <c r="I29" s="2168"/>
      <c r="J29" s="2121"/>
    </row>
    <row r="30" spans="6:10">
      <c r="F30" s="2168"/>
      <c r="G30" s="2168"/>
      <c r="H30" s="2168"/>
      <c r="I30" s="2168"/>
      <c r="J30" s="2121"/>
    </row>
    <row r="31" spans="6:10">
      <c r="F31" s="2168"/>
      <c r="G31" s="2168"/>
      <c r="H31" s="2168"/>
      <c r="I31" s="2168"/>
      <c r="J31" s="2121"/>
    </row>
    <row r="32" spans="6:10">
      <c r="F32" s="2168"/>
      <c r="G32" s="2168"/>
      <c r="H32" s="2168"/>
      <c r="I32" s="2168"/>
      <c r="J32" s="2121"/>
    </row>
    <row r="33" spans="6:10">
      <c r="F33" s="2168"/>
      <c r="G33" s="2168"/>
      <c r="H33" s="2168"/>
      <c r="I33" s="2168"/>
      <c r="J33" s="2121"/>
    </row>
    <row r="34" spans="6:10">
      <c r="F34" s="2168"/>
      <c r="G34" s="2168"/>
      <c r="H34" s="2168"/>
      <c r="I34" s="2168"/>
      <c r="J34" s="2121"/>
    </row>
    <row r="35" spans="6:10">
      <c r="F35" s="2168"/>
      <c r="G35" s="2168"/>
      <c r="H35" s="2168"/>
      <c r="I35" s="2168"/>
      <c r="J35" s="2121"/>
    </row>
    <row r="36" spans="6:10">
      <c r="F36" s="2168"/>
      <c r="G36" s="2168"/>
      <c r="H36" s="2168"/>
      <c r="I36" s="2168"/>
      <c r="J36" s="2121"/>
    </row>
    <row r="37" spans="6:10">
      <c r="F37" s="2168"/>
      <c r="G37" s="2168"/>
      <c r="H37" s="2168"/>
      <c r="I37" s="2168"/>
      <c r="J37" s="2121"/>
    </row>
    <row r="38" spans="6:10">
      <c r="F38" s="2168"/>
      <c r="G38" s="2168"/>
      <c r="H38" s="2168"/>
      <c r="I38" s="2168"/>
      <c r="J38" s="2121"/>
    </row>
    <row r="39" spans="6:10">
      <c r="F39" s="2168"/>
      <c r="G39" s="2168"/>
      <c r="H39" s="2168"/>
      <c r="I39" s="2168"/>
      <c r="J39" s="2121"/>
    </row>
    <row r="40" spans="6:10">
      <c r="F40" s="2168"/>
      <c r="G40" s="2168"/>
      <c r="H40" s="2168"/>
      <c r="I40" s="2168"/>
      <c r="J40" s="2121"/>
    </row>
    <row r="41" spans="6:10">
      <c r="F41" s="2168"/>
      <c r="G41" s="2168"/>
      <c r="H41" s="2168"/>
      <c r="I41" s="2168"/>
      <c r="J41" s="2121"/>
    </row>
    <row r="42" spans="6:10">
      <c r="F42" s="2168"/>
      <c r="G42" s="2168"/>
      <c r="H42" s="2168"/>
      <c r="I42" s="2168"/>
      <c r="J42" s="2121"/>
    </row>
    <row r="43" spans="6:10">
      <c r="F43" s="2168"/>
      <c r="G43" s="2168"/>
      <c r="H43" s="2168"/>
      <c r="I43" s="2168"/>
      <c r="J43" s="2121"/>
    </row>
    <row r="44" spans="6:10">
      <c r="F44" s="2168"/>
      <c r="G44" s="2168"/>
      <c r="H44" s="2168"/>
      <c r="I44" s="2168"/>
      <c r="J44" s="2121"/>
    </row>
    <row r="45" spans="6:10">
      <c r="F45" s="2168"/>
      <c r="G45" s="2168"/>
      <c r="H45" s="2168"/>
      <c r="I45" s="2168"/>
      <c r="J45" s="2121"/>
    </row>
    <row r="46" spans="6:10">
      <c r="F46" s="2168"/>
      <c r="G46" s="2168"/>
      <c r="H46" s="2168"/>
      <c r="I46" s="2168"/>
      <c r="J46" s="2121"/>
    </row>
    <row r="47" spans="6:10">
      <c r="F47" s="2168"/>
      <c r="G47" s="2168"/>
      <c r="H47" s="2168"/>
      <c r="I47" s="2168"/>
      <c r="J47" s="2121"/>
    </row>
    <row r="48" spans="6:10">
      <c r="F48" s="2168"/>
      <c r="G48" s="2168"/>
      <c r="H48" s="2168"/>
      <c r="I48" s="2168"/>
      <c r="J48" s="2121"/>
    </row>
    <row r="49" spans="6:10">
      <c r="F49" s="2168"/>
      <c r="G49" s="2168"/>
      <c r="H49" s="2168"/>
      <c r="I49" s="2168"/>
      <c r="J49" s="2121"/>
    </row>
    <row r="50" spans="6:10">
      <c r="F50" s="2168"/>
      <c r="G50" s="2168"/>
      <c r="H50" s="2168"/>
      <c r="I50" s="2168"/>
      <c r="J50" s="2121"/>
    </row>
    <row r="51" spans="6:10">
      <c r="F51" s="2168"/>
      <c r="G51" s="2168"/>
      <c r="H51" s="2168"/>
      <c r="I51" s="2168"/>
      <c r="J51" s="2121"/>
    </row>
    <row r="52" spans="6:10">
      <c r="F52" s="2168"/>
      <c r="G52" s="2168"/>
      <c r="H52" s="2168"/>
      <c r="I52" s="2168"/>
      <c r="J52" s="2121"/>
    </row>
    <row r="53" spans="6:10">
      <c r="F53" s="2168"/>
      <c r="G53" s="2168"/>
      <c r="H53" s="2168"/>
      <c r="I53" s="2168"/>
      <c r="J53" s="2121"/>
    </row>
    <row r="54" spans="6:10">
      <c r="F54" s="2168"/>
      <c r="G54" s="2168"/>
      <c r="H54" s="2168"/>
      <c r="I54" s="2168"/>
      <c r="J54" s="2121"/>
    </row>
    <row r="55" spans="6:10">
      <c r="F55" s="2168"/>
      <c r="G55" s="2168"/>
      <c r="H55" s="2168"/>
      <c r="I55" s="2168"/>
      <c r="J55" s="2121"/>
    </row>
    <row r="56" spans="6:10">
      <c r="F56" s="2168"/>
      <c r="G56" s="2168"/>
      <c r="H56" s="2168"/>
      <c r="I56" s="2168"/>
      <c r="J56" s="2121"/>
    </row>
    <row r="57" spans="6:10">
      <c r="F57" s="2168"/>
      <c r="G57" s="2168"/>
      <c r="H57" s="2168"/>
      <c r="I57" s="2168"/>
      <c r="J57" s="2121"/>
    </row>
    <row r="58" spans="6:10">
      <c r="F58" s="2168"/>
      <c r="G58" s="2168"/>
      <c r="H58" s="2168"/>
      <c r="I58" s="2168"/>
      <c r="J58" s="2121"/>
    </row>
    <row r="59" spans="6:10">
      <c r="F59" s="2168"/>
      <c r="G59" s="2168"/>
      <c r="H59" s="2168"/>
      <c r="I59" s="2168"/>
      <c r="J59" s="2121"/>
    </row>
    <row r="60" spans="6:10">
      <c r="F60" s="2168"/>
      <c r="G60" s="2168"/>
      <c r="H60" s="2168"/>
      <c r="I60" s="2168"/>
      <c r="J60" s="2121"/>
    </row>
    <row r="61" spans="6:10">
      <c r="F61" s="2168"/>
      <c r="G61" s="2168"/>
      <c r="H61" s="2168"/>
      <c r="I61" s="2168"/>
      <c r="J61" s="2121"/>
    </row>
    <row r="62" spans="6:10">
      <c r="F62" s="2168"/>
      <c r="G62" s="2168"/>
      <c r="H62" s="2168"/>
      <c r="I62" s="2168"/>
      <c r="J62" s="2121"/>
    </row>
    <row r="63" spans="6:10">
      <c r="F63" s="2168"/>
      <c r="G63" s="2168"/>
      <c r="H63" s="2168"/>
      <c r="I63" s="2168"/>
      <c r="J63" s="2121"/>
    </row>
    <row r="64" spans="6:10">
      <c r="F64" s="2168"/>
      <c r="G64" s="2168"/>
      <c r="H64" s="2168"/>
      <c r="I64" s="2168"/>
      <c r="J64" s="2121"/>
    </row>
    <row r="65" spans="6:10">
      <c r="F65" s="2168"/>
      <c r="G65" s="2168"/>
      <c r="H65" s="2168"/>
      <c r="I65" s="2168"/>
      <c r="J65" s="2121"/>
    </row>
    <row r="66" spans="6:10">
      <c r="F66" s="2168"/>
      <c r="G66" s="2168"/>
      <c r="H66" s="2168"/>
      <c r="I66" s="2168"/>
      <c r="J66" s="2121"/>
    </row>
    <row r="67" spans="6:10">
      <c r="F67" s="2168"/>
      <c r="G67" s="2168"/>
      <c r="H67" s="2168"/>
      <c r="I67" s="2168"/>
      <c r="J67" s="2121"/>
    </row>
    <row r="68" spans="6:10">
      <c r="F68" s="2168"/>
      <c r="G68" s="2168"/>
      <c r="H68" s="2168"/>
      <c r="I68" s="2168"/>
      <c r="J68" s="2121"/>
    </row>
    <row r="69" spans="6:10">
      <c r="F69" s="2168"/>
      <c r="G69" s="2168"/>
      <c r="H69" s="2168"/>
      <c r="I69" s="2168"/>
      <c r="J69" s="2121"/>
    </row>
    <row r="70" spans="6:10">
      <c r="F70" s="2168"/>
      <c r="G70" s="2168"/>
      <c r="H70" s="2168"/>
      <c r="I70" s="2168"/>
      <c r="J70" s="2121"/>
    </row>
    <row r="71" spans="6:10">
      <c r="F71" s="2168"/>
      <c r="G71" s="2168"/>
      <c r="H71" s="2168"/>
      <c r="I71" s="2168"/>
      <c r="J71" s="2121"/>
    </row>
    <row r="72" spans="6:10">
      <c r="F72" s="2168"/>
      <c r="G72" s="2168"/>
      <c r="H72" s="2168"/>
      <c r="I72" s="2168"/>
      <c r="J72" s="2121"/>
    </row>
    <row r="73" spans="6:10">
      <c r="F73" s="2168"/>
      <c r="G73" s="2168"/>
      <c r="H73" s="2168"/>
      <c r="I73" s="2168"/>
      <c r="J73" s="2121"/>
    </row>
    <row r="74" spans="6:10">
      <c r="F74" s="2168"/>
      <c r="G74" s="2168"/>
      <c r="H74" s="2168"/>
      <c r="I74" s="2168"/>
      <c r="J74" s="2121"/>
    </row>
    <row r="75" spans="6:10">
      <c r="F75" s="2168"/>
      <c r="G75" s="2168"/>
      <c r="H75" s="2168"/>
      <c r="I75" s="2168"/>
      <c r="J75" s="2121"/>
    </row>
    <row r="76" spans="6:10">
      <c r="F76" s="2168"/>
      <c r="G76" s="2168"/>
      <c r="H76" s="2168"/>
      <c r="I76" s="2168"/>
      <c r="J76" s="2121"/>
    </row>
    <row r="77" spans="6:10">
      <c r="F77" s="2168"/>
      <c r="G77" s="2168"/>
      <c r="H77" s="2168"/>
      <c r="I77" s="2168"/>
      <c r="J77" s="2121"/>
    </row>
    <row r="78" spans="6:10">
      <c r="F78" s="2168"/>
      <c r="G78" s="2168"/>
      <c r="H78" s="2168"/>
      <c r="I78" s="2168"/>
      <c r="J78" s="2121"/>
    </row>
    <row r="79" spans="6:10">
      <c r="F79" s="2168"/>
      <c r="G79" s="2168"/>
      <c r="H79" s="2168"/>
      <c r="I79" s="2168"/>
      <c r="J79" s="2121"/>
    </row>
    <row r="80" spans="6:10">
      <c r="F80" s="2168"/>
      <c r="G80" s="2168"/>
      <c r="H80" s="2168"/>
      <c r="I80" s="2168"/>
      <c r="J80" s="2121"/>
    </row>
    <row r="81" spans="6:10">
      <c r="F81" s="2168"/>
      <c r="G81" s="2168"/>
      <c r="H81" s="2168"/>
      <c r="I81" s="2168"/>
      <c r="J81" s="2121"/>
    </row>
    <row r="82" spans="6:10">
      <c r="F82" s="2168"/>
      <c r="G82" s="2168"/>
      <c r="H82" s="2168"/>
      <c r="I82" s="2168"/>
      <c r="J82" s="2121"/>
    </row>
    <row r="83" spans="6:10">
      <c r="F83" s="2168"/>
      <c r="G83" s="2168"/>
      <c r="H83" s="2168"/>
      <c r="I83" s="2168"/>
      <c r="J83" s="2121"/>
    </row>
    <row r="84" spans="6:10">
      <c r="F84" s="2168"/>
      <c r="G84" s="2168"/>
      <c r="H84" s="2168"/>
      <c r="I84" s="2168"/>
      <c r="J84" s="2121"/>
    </row>
    <row r="85" spans="6:10">
      <c r="F85" s="2168"/>
      <c r="G85" s="2168"/>
      <c r="H85" s="2168"/>
      <c r="I85" s="2168"/>
      <c r="J85" s="2121"/>
    </row>
    <row r="86" spans="6:10">
      <c r="F86" s="2168"/>
      <c r="G86" s="2168"/>
      <c r="H86" s="2168"/>
      <c r="I86" s="2168"/>
      <c r="J86" s="2121"/>
    </row>
    <row r="87" spans="6:10">
      <c r="F87" s="2168"/>
      <c r="G87" s="2168"/>
      <c r="H87" s="2168"/>
      <c r="I87" s="2168"/>
      <c r="J87" s="2121"/>
    </row>
    <row r="88" spans="6:10">
      <c r="F88" s="2168"/>
      <c r="G88" s="2168"/>
      <c r="H88" s="2168"/>
      <c r="I88" s="2168"/>
      <c r="J88" s="2121"/>
    </row>
    <row r="89" spans="6:10">
      <c r="F89" s="2168"/>
      <c r="G89" s="2168"/>
      <c r="H89" s="2168"/>
      <c r="I89" s="2168"/>
      <c r="J89" s="2121"/>
    </row>
    <row r="90" spans="6:10">
      <c r="F90" s="2168"/>
      <c r="G90" s="2168"/>
      <c r="H90" s="2168"/>
      <c r="I90" s="2168"/>
      <c r="J90" s="2121"/>
    </row>
    <row r="91" spans="6:10">
      <c r="F91" s="2168"/>
      <c r="G91" s="2168"/>
      <c r="H91" s="2168"/>
      <c r="I91" s="2168"/>
      <c r="J91" s="2121"/>
    </row>
    <row r="92" spans="6:10">
      <c r="F92" s="2168"/>
      <c r="G92" s="2168"/>
      <c r="H92" s="2168"/>
      <c r="I92" s="2168"/>
      <c r="J92" s="2121"/>
    </row>
    <row r="93" spans="6:10">
      <c r="F93" s="2168"/>
      <c r="G93" s="2168"/>
      <c r="H93" s="2168"/>
      <c r="I93" s="2168"/>
      <c r="J93" s="2121"/>
    </row>
    <row r="94" spans="6:10">
      <c r="F94" s="2168"/>
      <c r="G94" s="2168"/>
      <c r="H94" s="2168"/>
      <c r="I94" s="2168"/>
      <c r="J94" s="2121"/>
    </row>
    <row r="95" spans="6:10">
      <c r="F95" s="2168"/>
      <c r="G95" s="2168"/>
      <c r="H95" s="2168"/>
      <c r="I95" s="2168"/>
      <c r="J95" s="2121"/>
    </row>
    <row r="96" spans="6:10">
      <c r="F96" s="2168"/>
      <c r="G96" s="2168"/>
      <c r="H96" s="2168"/>
      <c r="I96" s="2168"/>
      <c r="J96" s="2121"/>
    </row>
    <row r="97" spans="6:10">
      <c r="F97" s="2168"/>
      <c r="G97" s="2168"/>
      <c r="H97" s="2168"/>
      <c r="I97" s="2168"/>
      <c r="J97" s="2121"/>
    </row>
    <row r="98" spans="6:10">
      <c r="F98" s="2168"/>
      <c r="G98" s="2168"/>
      <c r="H98" s="2168"/>
      <c r="I98" s="2168"/>
      <c r="J98" s="2121"/>
    </row>
    <row r="99" spans="6:10">
      <c r="F99" s="2168"/>
      <c r="G99" s="2168"/>
      <c r="H99" s="2168"/>
      <c r="I99" s="2168"/>
      <c r="J99" s="2121"/>
    </row>
    <row r="100" spans="6:10">
      <c r="F100" s="2168"/>
      <c r="G100" s="2168"/>
      <c r="H100" s="2168"/>
      <c r="I100" s="2168"/>
      <c r="J100" s="2121"/>
    </row>
    <row r="101" spans="6:10">
      <c r="F101" s="2168"/>
      <c r="G101" s="2168"/>
      <c r="H101" s="2168"/>
      <c r="I101" s="2168"/>
      <c r="J101" s="2121"/>
    </row>
    <row r="102" spans="6:10">
      <c r="F102" s="2168"/>
      <c r="G102" s="2168"/>
      <c r="H102" s="2168"/>
      <c r="I102" s="2168"/>
      <c r="J102" s="2121"/>
    </row>
    <row r="103" spans="6:10">
      <c r="F103" s="2168"/>
      <c r="G103" s="2168"/>
      <c r="H103" s="2168"/>
      <c r="I103" s="2168"/>
      <c r="J103" s="2121"/>
    </row>
    <row r="104" spans="6:10">
      <c r="F104" s="2168"/>
      <c r="G104" s="2168"/>
      <c r="H104" s="2168"/>
      <c r="I104" s="2168"/>
      <c r="J104" s="2121"/>
    </row>
    <row r="105" spans="6:10">
      <c r="F105" s="2168"/>
      <c r="G105" s="2168"/>
      <c r="H105" s="2168"/>
      <c r="I105" s="2168"/>
      <c r="J105" s="2121"/>
    </row>
    <row r="106" spans="6:10">
      <c r="F106" s="2168"/>
      <c r="G106" s="2168"/>
      <c r="H106" s="2168"/>
      <c r="I106" s="2168"/>
      <c r="J106" s="2121"/>
    </row>
    <row r="107" spans="6:10">
      <c r="F107" s="2168"/>
      <c r="G107" s="2168"/>
      <c r="H107" s="2168"/>
      <c r="I107" s="2168"/>
      <c r="J107" s="2121"/>
    </row>
    <row r="108" spans="6:10">
      <c r="F108" s="2168"/>
      <c r="G108" s="2168"/>
      <c r="H108" s="2168"/>
      <c r="I108" s="2168"/>
      <c r="J108" s="2121"/>
    </row>
    <row r="109" spans="6:10">
      <c r="F109" s="2168"/>
      <c r="G109" s="2168"/>
      <c r="H109" s="2168"/>
      <c r="I109" s="2168"/>
      <c r="J109" s="2121"/>
    </row>
    <row r="110" spans="6:10">
      <c r="F110" s="2168"/>
      <c r="G110" s="2168"/>
      <c r="H110" s="2168"/>
      <c r="I110" s="2168"/>
      <c r="J110" s="2121"/>
    </row>
    <row r="111" spans="6:10">
      <c r="F111" s="2168"/>
      <c r="G111" s="2168"/>
      <c r="H111" s="2168"/>
      <c r="I111" s="2168"/>
      <c r="J111" s="2121"/>
    </row>
    <row r="112" spans="6:10">
      <c r="F112" s="2168"/>
      <c r="G112" s="2168"/>
      <c r="H112" s="2168"/>
      <c r="I112" s="2168"/>
      <c r="J112" s="2121"/>
    </row>
    <row r="113" spans="6:10">
      <c r="F113" s="2168"/>
      <c r="G113" s="2168"/>
      <c r="H113" s="2168"/>
      <c r="I113" s="2168"/>
      <c r="J113" s="2121"/>
    </row>
    <row r="114" spans="6:10">
      <c r="F114" s="2168"/>
      <c r="G114" s="2168"/>
      <c r="H114" s="2168"/>
      <c r="I114" s="2168"/>
      <c r="J114" s="2121"/>
    </row>
    <row r="115" spans="6:10">
      <c r="F115" s="2168"/>
      <c r="G115" s="2168"/>
      <c r="H115" s="2168"/>
      <c r="I115" s="2168"/>
      <c r="J115" s="2121"/>
    </row>
    <row r="116" spans="6:10">
      <c r="F116" s="2168"/>
      <c r="G116" s="2168"/>
      <c r="H116" s="2168"/>
      <c r="I116" s="2168"/>
      <c r="J116" s="2121"/>
    </row>
    <row r="117" spans="6:10">
      <c r="F117" s="2168"/>
      <c r="G117" s="2168"/>
      <c r="H117" s="2168"/>
      <c r="I117" s="2168"/>
      <c r="J117" s="2121"/>
    </row>
    <row r="118" spans="6:10">
      <c r="F118" s="2168"/>
      <c r="G118" s="2168"/>
      <c r="H118" s="2168"/>
      <c r="I118" s="2168"/>
      <c r="J118" s="2121"/>
    </row>
    <row r="119" spans="6:10">
      <c r="F119" s="2168"/>
      <c r="G119" s="2168"/>
      <c r="H119" s="2168"/>
      <c r="I119" s="2168"/>
      <c r="J119" s="2121"/>
    </row>
    <row r="120" spans="6:10">
      <c r="F120" s="2168"/>
      <c r="G120" s="2168"/>
      <c r="H120" s="2168"/>
      <c r="I120" s="2168"/>
      <c r="J120" s="2121"/>
    </row>
    <row r="121" spans="6:10">
      <c r="F121" s="2168"/>
      <c r="G121" s="2168"/>
      <c r="H121" s="2168"/>
      <c r="I121" s="2168"/>
      <c r="J121" s="2121"/>
    </row>
    <row r="122" spans="6:10">
      <c r="F122" s="2168"/>
      <c r="G122" s="2168"/>
      <c r="H122" s="2168"/>
      <c r="I122" s="2168"/>
      <c r="J122" s="2121"/>
    </row>
    <row r="123" spans="6:10">
      <c r="F123" s="2168"/>
      <c r="G123" s="2168"/>
      <c r="H123" s="2168"/>
      <c r="I123" s="2168"/>
      <c r="J123" s="2121"/>
    </row>
    <row r="124" spans="6:10">
      <c r="F124" s="2168"/>
      <c r="G124" s="2168"/>
      <c r="H124" s="2168"/>
      <c r="I124" s="2168"/>
      <c r="J124" s="2121"/>
    </row>
    <row r="125" spans="6:10">
      <c r="F125" s="2168"/>
      <c r="G125" s="2168"/>
      <c r="H125" s="2168"/>
      <c r="I125" s="2168"/>
      <c r="J125" s="2121"/>
    </row>
    <row r="126" spans="6:10">
      <c r="F126" s="2168"/>
      <c r="G126" s="2168"/>
      <c r="H126" s="2168"/>
      <c r="I126" s="2168"/>
      <c r="J126" s="2121"/>
    </row>
    <row r="127" spans="6:10">
      <c r="F127" s="2168"/>
      <c r="G127" s="2168"/>
      <c r="H127" s="2168"/>
      <c r="I127" s="2168"/>
      <c r="J127" s="2121"/>
    </row>
    <row r="128" spans="6:10">
      <c r="F128" s="2168"/>
      <c r="G128" s="2168"/>
      <c r="H128" s="2168"/>
      <c r="I128" s="2168"/>
      <c r="J128" s="2121"/>
    </row>
    <row r="129" spans="6:10">
      <c r="F129" s="2168"/>
      <c r="G129" s="2168"/>
      <c r="H129" s="2168"/>
      <c r="I129" s="2168"/>
      <c r="J129" s="2121"/>
    </row>
    <row r="130" spans="6:10">
      <c r="F130" s="2168"/>
      <c r="G130" s="2168"/>
      <c r="H130" s="2168"/>
      <c r="I130" s="2168"/>
      <c r="J130" s="2121"/>
    </row>
    <row r="131" spans="6:10">
      <c r="F131" s="2168"/>
      <c r="G131" s="2168"/>
      <c r="H131" s="2168"/>
      <c r="I131" s="2168"/>
      <c r="J131" s="2121"/>
    </row>
    <row r="132" spans="6:10">
      <c r="F132" s="2168"/>
      <c r="G132" s="2168"/>
      <c r="H132" s="2168"/>
      <c r="I132" s="2168"/>
      <c r="J132" s="2121"/>
    </row>
    <row r="133" spans="6:10">
      <c r="F133" s="2168"/>
      <c r="G133" s="2168"/>
      <c r="H133" s="2168"/>
      <c r="I133" s="2168"/>
      <c r="J133" s="2121"/>
    </row>
    <row r="134" spans="6:10">
      <c r="F134" s="2168"/>
      <c r="G134" s="2168"/>
      <c r="H134" s="2168"/>
      <c r="I134" s="2168"/>
      <c r="J134" s="2121"/>
    </row>
    <row r="135" spans="6:10">
      <c r="F135" s="2168"/>
      <c r="G135" s="2168"/>
      <c r="H135" s="2168"/>
      <c r="I135" s="2168"/>
      <c r="J135" s="2121"/>
    </row>
    <row r="136" spans="6:10">
      <c r="F136" s="2168"/>
      <c r="G136" s="2168"/>
      <c r="H136" s="2168"/>
      <c r="I136" s="2168"/>
      <c r="J136" s="2121"/>
    </row>
    <row r="137" spans="6:10">
      <c r="F137" s="2168"/>
      <c r="G137" s="2168"/>
      <c r="H137" s="2168"/>
      <c r="I137" s="2168"/>
      <c r="J137" s="2121"/>
    </row>
    <row r="138" spans="6:10">
      <c r="F138" s="2168"/>
      <c r="G138" s="2168"/>
      <c r="H138" s="2168"/>
      <c r="I138" s="2168"/>
      <c r="J138" s="2121"/>
    </row>
    <row r="139" spans="6:10">
      <c r="F139" s="2168"/>
      <c r="G139" s="2168"/>
      <c r="H139" s="2168"/>
      <c r="I139" s="2168"/>
      <c r="J139" s="2121"/>
    </row>
    <row r="140" spans="6:10">
      <c r="F140" s="2168"/>
      <c r="G140" s="2168"/>
      <c r="H140" s="2168"/>
      <c r="I140" s="2168"/>
      <c r="J140" s="2121"/>
    </row>
    <row r="141" spans="6:10">
      <c r="F141" s="2168"/>
      <c r="G141" s="2168"/>
      <c r="H141" s="2168"/>
      <c r="I141" s="2168"/>
      <c r="J141" s="2121"/>
    </row>
    <row r="142" spans="6:10">
      <c r="F142" s="2168"/>
      <c r="G142" s="2168"/>
      <c r="H142" s="2168"/>
      <c r="I142" s="2168"/>
      <c r="J142" s="2121"/>
    </row>
    <row r="143" spans="6:10">
      <c r="F143" s="2168"/>
      <c r="G143" s="2168"/>
      <c r="H143" s="2168"/>
      <c r="I143" s="2168"/>
      <c r="J143" s="2121"/>
    </row>
    <row r="144" spans="6:10">
      <c r="F144" s="2168"/>
      <c r="G144" s="2168"/>
      <c r="H144" s="2168"/>
      <c r="I144" s="2168"/>
      <c r="J144" s="2121"/>
    </row>
    <row r="145" spans="6:10">
      <c r="F145" s="2168"/>
      <c r="G145" s="2168"/>
      <c r="H145" s="2168"/>
      <c r="I145" s="2168"/>
      <c r="J145" s="2121"/>
    </row>
    <row r="146" spans="6:10">
      <c r="F146" s="2168"/>
      <c r="G146" s="2168"/>
      <c r="H146" s="2168"/>
      <c r="I146" s="2168"/>
      <c r="J146" s="2121"/>
    </row>
    <row r="147" spans="6:10">
      <c r="F147" s="2168"/>
      <c r="G147" s="2168"/>
      <c r="H147" s="2168"/>
      <c r="I147" s="2168"/>
      <c r="J147" s="2121"/>
    </row>
    <row r="148" spans="6:10">
      <c r="F148" s="2168"/>
      <c r="G148" s="2168"/>
      <c r="H148" s="2168"/>
      <c r="I148" s="2168"/>
      <c r="J148" s="2121"/>
    </row>
    <row r="149" spans="6:10">
      <c r="F149" s="2168"/>
      <c r="G149" s="2168"/>
      <c r="H149" s="2168"/>
      <c r="I149" s="2168"/>
      <c r="J149" s="2121"/>
    </row>
    <row r="150" spans="6:10">
      <c r="F150" s="2168"/>
      <c r="G150" s="2168"/>
      <c r="H150" s="2168"/>
      <c r="I150" s="2168"/>
      <c r="J150" s="2121"/>
    </row>
    <row r="151" spans="6:10">
      <c r="F151" s="2168"/>
      <c r="G151" s="2168"/>
      <c r="H151" s="2168"/>
      <c r="I151" s="2168"/>
      <c r="J151" s="2121"/>
    </row>
    <row r="152" spans="6:10">
      <c r="F152" s="2168"/>
      <c r="G152" s="2168"/>
      <c r="H152" s="2168"/>
      <c r="I152" s="2168"/>
      <c r="J152" s="2121"/>
    </row>
    <row r="153" spans="6:10">
      <c r="F153" s="2168"/>
      <c r="G153" s="2168"/>
      <c r="H153" s="2168"/>
      <c r="I153" s="2168"/>
      <c r="J153" s="2121"/>
    </row>
    <row r="154" spans="6:10">
      <c r="F154" s="2168"/>
      <c r="G154" s="2168"/>
      <c r="H154" s="2168"/>
      <c r="I154" s="2168"/>
      <c r="J154" s="2121"/>
    </row>
    <row r="155" spans="6:10">
      <c r="F155" s="2168"/>
      <c r="G155" s="2168"/>
      <c r="H155" s="2168"/>
      <c r="I155" s="2168"/>
      <c r="J155" s="2121"/>
    </row>
    <row r="156" spans="6:10">
      <c r="F156" s="2168"/>
      <c r="G156" s="2168"/>
      <c r="H156" s="2168"/>
      <c r="I156" s="2168"/>
      <c r="J156" s="2121"/>
    </row>
    <row r="157" spans="6:10">
      <c r="F157" s="2168"/>
      <c r="G157" s="2168"/>
      <c r="H157" s="2168"/>
      <c r="I157" s="2168"/>
      <c r="J157" s="2121"/>
    </row>
    <row r="158" spans="6:10">
      <c r="F158" s="2168"/>
      <c r="G158" s="2168"/>
      <c r="H158" s="2168"/>
      <c r="I158" s="2168"/>
      <c r="J158" s="2121"/>
    </row>
    <row r="159" spans="6:10">
      <c r="F159" s="2168"/>
      <c r="G159" s="2168"/>
      <c r="H159" s="2168"/>
      <c r="I159" s="2168"/>
      <c r="J159" s="2121"/>
    </row>
    <row r="160" spans="6:10">
      <c r="F160" s="2168"/>
      <c r="G160" s="2168"/>
      <c r="H160" s="2168"/>
      <c r="I160" s="2168"/>
      <c r="J160" s="2121"/>
    </row>
    <row r="161" spans="6:10">
      <c r="F161" s="2168"/>
      <c r="G161" s="2168"/>
      <c r="H161" s="2168"/>
      <c r="I161" s="2168"/>
      <c r="J161" s="2121"/>
    </row>
    <row r="162" spans="6:10">
      <c r="F162" s="2168"/>
      <c r="G162" s="2168"/>
      <c r="H162" s="2168"/>
      <c r="I162" s="2168"/>
      <c r="J162" s="2121"/>
    </row>
    <row r="163" spans="6:10">
      <c r="F163" s="2168"/>
      <c r="G163" s="2168"/>
      <c r="H163" s="2168"/>
      <c r="I163" s="2168"/>
      <c r="J163" s="2121"/>
    </row>
    <row r="164" spans="6:10">
      <c r="F164" s="2168"/>
      <c r="G164" s="2168"/>
      <c r="H164" s="2168"/>
      <c r="I164" s="2168"/>
      <c r="J164" s="2121"/>
    </row>
    <row r="165" spans="6:10">
      <c r="F165" s="2168"/>
      <c r="G165" s="2168"/>
      <c r="H165" s="2168"/>
      <c r="I165" s="2168"/>
      <c r="J165" s="2121"/>
    </row>
    <row r="166" spans="6:10">
      <c r="F166" s="2168"/>
      <c r="G166" s="2168"/>
      <c r="H166" s="2168"/>
      <c r="I166" s="2168"/>
      <c r="J166" s="2121"/>
    </row>
    <row r="167" spans="6:10">
      <c r="F167" s="2168"/>
      <c r="G167" s="2168"/>
      <c r="H167" s="2168"/>
      <c r="I167" s="2168"/>
      <c r="J167" s="2121"/>
    </row>
    <row r="168" spans="6:10">
      <c r="F168" s="2168"/>
      <c r="G168" s="2168"/>
      <c r="H168" s="2168"/>
      <c r="I168" s="2168"/>
      <c r="J168" s="2121"/>
    </row>
    <row r="169" spans="6:10">
      <c r="F169" s="2168"/>
      <c r="G169" s="2168"/>
      <c r="H169" s="2168"/>
      <c r="I169" s="2168"/>
      <c r="J169" s="2121"/>
    </row>
    <row r="170" spans="6:10">
      <c r="F170" s="2168"/>
      <c r="G170" s="2168"/>
      <c r="H170" s="2168"/>
      <c r="I170" s="2168"/>
      <c r="J170" s="2121"/>
    </row>
    <row r="171" spans="6:10">
      <c r="F171" s="2168"/>
      <c r="G171" s="2168"/>
      <c r="H171" s="2168"/>
      <c r="I171" s="2168"/>
      <c r="J171" s="2121"/>
    </row>
    <row r="172" spans="6:10">
      <c r="F172" s="2168"/>
      <c r="G172" s="2168"/>
      <c r="H172" s="2168"/>
      <c r="I172" s="2168"/>
      <c r="J172" s="2121"/>
    </row>
    <row r="173" spans="6:10">
      <c r="F173" s="2168"/>
      <c r="G173" s="2168"/>
      <c r="H173" s="2168"/>
      <c r="I173" s="2168"/>
      <c r="J173" s="2121"/>
    </row>
    <row r="174" spans="6:10">
      <c r="F174" s="2168"/>
      <c r="G174" s="2168"/>
      <c r="H174" s="2168"/>
      <c r="I174" s="2168"/>
      <c r="J174" s="2121"/>
    </row>
    <row r="175" spans="6:10">
      <c r="F175" s="2168"/>
      <c r="G175" s="2168"/>
      <c r="H175" s="2168"/>
      <c r="I175" s="2168"/>
      <c r="J175" s="2121"/>
    </row>
    <row r="176" spans="6:10">
      <c r="F176" s="2168"/>
      <c r="G176" s="2168"/>
      <c r="H176" s="2168"/>
      <c r="I176" s="2168"/>
      <c r="J176" s="2121"/>
    </row>
    <row r="177" spans="6:10">
      <c r="F177" s="2168"/>
      <c r="G177" s="2168"/>
      <c r="H177" s="2168"/>
      <c r="I177" s="2168"/>
      <c r="J177" s="2121"/>
    </row>
    <row r="178" spans="6:10">
      <c r="F178" s="2168"/>
      <c r="G178" s="2168"/>
      <c r="H178" s="2168"/>
      <c r="I178" s="2168"/>
      <c r="J178" s="2121"/>
    </row>
    <row r="179" spans="6:10">
      <c r="F179" s="2168"/>
      <c r="G179" s="2168"/>
      <c r="H179" s="2168"/>
      <c r="I179" s="2168"/>
      <c r="J179" s="2121"/>
    </row>
    <row r="180" spans="6:10">
      <c r="F180" s="2168"/>
      <c r="G180" s="2168"/>
      <c r="H180" s="2168"/>
      <c r="I180" s="2168"/>
      <c r="J180" s="2121"/>
    </row>
    <row r="181" spans="6:10">
      <c r="F181" s="2168"/>
      <c r="G181" s="2168"/>
      <c r="H181" s="2168"/>
      <c r="I181" s="2168"/>
      <c r="J181" s="2121"/>
    </row>
    <row r="182" spans="6:10">
      <c r="F182" s="2168"/>
      <c r="G182" s="2168"/>
      <c r="H182" s="2168"/>
      <c r="I182" s="2168"/>
      <c r="J182" s="2121"/>
    </row>
    <row r="183" spans="6:10">
      <c r="F183" s="2168"/>
      <c r="G183" s="2168"/>
      <c r="H183" s="2168"/>
      <c r="I183" s="2168"/>
      <c r="J183" s="2121"/>
    </row>
    <row r="184" spans="6:10">
      <c r="F184" s="2168"/>
      <c r="G184" s="2168"/>
      <c r="H184" s="2168"/>
      <c r="I184" s="2168"/>
      <c r="J184" s="2121"/>
    </row>
    <row r="185" spans="6:10">
      <c r="F185" s="2168"/>
      <c r="G185" s="2168"/>
      <c r="H185" s="2168"/>
      <c r="I185" s="2168"/>
      <c r="J185" s="2121"/>
    </row>
    <row r="186" spans="6:10">
      <c r="F186" s="2168"/>
      <c r="G186" s="2168"/>
      <c r="H186" s="2168"/>
      <c r="I186" s="2168"/>
      <c r="J186" s="2121"/>
    </row>
    <row r="187" spans="6:10">
      <c r="F187" s="2168"/>
      <c r="G187" s="2168"/>
      <c r="H187" s="2168"/>
      <c r="I187" s="2168"/>
      <c r="J187" s="2121"/>
    </row>
    <row r="188" spans="6:10">
      <c r="F188" s="2168"/>
      <c r="G188" s="2168"/>
      <c r="H188" s="2168"/>
      <c r="I188" s="2168"/>
      <c r="J188" s="2121"/>
    </row>
    <row r="189" spans="6:10">
      <c r="F189" s="2168"/>
      <c r="G189" s="2168"/>
      <c r="H189" s="2168"/>
      <c r="I189" s="2168"/>
      <c r="J189" s="2121"/>
    </row>
    <row r="190" spans="6:10">
      <c r="F190" s="2168"/>
      <c r="G190" s="2168"/>
      <c r="H190" s="2168"/>
      <c r="I190" s="2168"/>
      <c r="J190" s="2121"/>
    </row>
    <row r="191" spans="6:10">
      <c r="F191" s="2168"/>
      <c r="G191" s="2168"/>
      <c r="H191" s="2168"/>
      <c r="I191" s="2168"/>
      <c r="J191" s="2121"/>
    </row>
    <row r="192" spans="6:10">
      <c r="F192" s="2168"/>
      <c r="G192" s="2168"/>
      <c r="H192" s="2168"/>
      <c r="I192" s="2168"/>
      <c r="J192" s="2121"/>
    </row>
    <row r="193" spans="6:10">
      <c r="F193" s="2168"/>
      <c r="G193" s="2168"/>
      <c r="H193" s="2168"/>
      <c r="I193" s="2168"/>
      <c r="J193" s="2121"/>
    </row>
    <row r="194" spans="6:10">
      <c r="F194" s="2168"/>
      <c r="G194" s="2168"/>
      <c r="H194" s="2168"/>
      <c r="I194" s="2168"/>
      <c r="J194" s="2121"/>
    </row>
    <row r="195" spans="6:10">
      <c r="F195" s="2168"/>
      <c r="G195" s="2168"/>
      <c r="H195" s="2168"/>
      <c r="I195" s="2168"/>
      <c r="J195" s="2121"/>
    </row>
    <row r="196" spans="6:10">
      <c r="F196" s="2168"/>
      <c r="G196" s="2168"/>
      <c r="H196" s="2168"/>
      <c r="I196" s="2168"/>
      <c r="J196" s="2121"/>
    </row>
    <row r="197" spans="6:10">
      <c r="F197" s="2168"/>
      <c r="G197" s="2168"/>
      <c r="H197" s="2168"/>
      <c r="I197" s="2168"/>
      <c r="J197" s="2121"/>
    </row>
    <row r="198" spans="6:10">
      <c r="F198" s="2168"/>
      <c r="G198" s="2168"/>
      <c r="H198" s="2168"/>
      <c r="I198" s="2168"/>
      <c r="J198" s="2121"/>
    </row>
    <row r="199" spans="6:10">
      <c r="F199" s="2168"/>
      <c r="G199" s="2168"/>
      <c r="H199" s="2168"/>
      <c r="I199" s="2168"/>
      <c r="J199" s="2121"/>
    </row>
    <row r="200" spans="6:10">
      <c r="F200" s="2168"/>
      <c r="G200" s="2168"/>
      <c r="H200" s="2168"/>
      <c r="I200" s="2168"/>
      <c r="J200" s="2121"/>
    </row>
    <row r="201" spans="6:10">
      <c r="F201" s="2168"/>
      <c r="G201" s="2168"/>
      <c r="H201" s="2168"/>
      <c r="I201" s="2168"/>
      <c r="J201" s="2121"/>
    </row>
    <row r="202" spans="6:10">
      <c r="F202" s="2168"/>
      <c r="G202" s="2168"/>
      <c r="H202" s="2168"/>
      <c r="I202" s="2168"/>
      <c r="J202" s="2121"/>
    </row>
    <row r="203" spans="6:10">
      <c r="F203" s="2168"/>
      <c r="G203" s="2168"/>
      <c r="H203" s="2168"/>
      <c r="I203" s="2168"/>
      <c r="J203" s="2121"/>
    </row>
    <row r="204" spans="6:10">
      <c r="F204" s="2168"/>
      <c r="G204" s="2168"/>
      <c r="H204" s="2168"/>
      <c r="I204" s="2168"/>
      <c r="J204" s="2121"/>
    </row>
    <row r="205" spans="6:10">
      <c r="F205" s="2168"/>
      <c r="G205" s="2168"/>
      <c r="H205" s="2168"/>
      <c r="I205" s="2168"/>
      <c r="J205" s="2121"/>
    </row>
    <row r="206" spans="6:10">
      <c r="F206" s="2168"/>
      <c r="G206" s="2168"/>
      <c r="H206" s="2168"/>
      <c r="I206" s="2168"/>
      <c r="J206" s="2121"/>
    </row>
    <row r="207" spans="6:10">
      <c r="F207" s="2168"/>
      <c r="G207" s="2168"/>
      <c r="H207" s="2168"/>
      <c r="I207" s="2168"/>
      <c r="J207" s="2121"/>
    </row>
    <row r="208" spans="6:10">
      <c r="F208" s="2168"/>
      <c r="G208" s="2168"/>
      <c r="H208" s="2168"/>
      <c r="I208" s="2168"/>
      <c r="J208" s="2121"/>
    </row>
    <row r="209" spans="6:10">
      <c r="F209" s="2168"/>
      <c r="G209" s="2168"/>
      <c r="H209" s="2168"/>
      <c r="I209" s="2168"/>
      <c r="J209" s="2121"/>
    </row>
    <row r="210" spans="6:10">
      <c r="F210" s="2168"/>
      <c r="G210" s="2168"/>
      <c r="H210" s="2168"/>
      <c r="I210" s="2168"/>
      <c r="J210" s="2121"/>
    </row>
    <row r="211" spans="6:10">
      <c r="F211" s="2168"/>
      <c r="G211" s="2168"/>
      <c r="H211" s="2168"/>
      <c r="I211" s="2168"/>
      <c r="J211" s="2121"/>
    </row>
    <row r="212" spans="6:10">
      <c r="F212" s="2168"/>
      <c r="G212" s="2168"/>
      <c r="H212" s="2168"/>
      <c r="I212" s="2168"/>
      <c r="J212" s="2121"/>
    </row>
    <row r="213" spans="6:10">
      <c r="F213" s="2168"/>
      <c r="G213" s="2168"/>
      <c r="H213" s="2168"/>
      <c r="I213" s="2168"/>
      <c r="J213" s="2121"/>
    </row>
    <row r="214" spans="6:10">
      <c r="F214" s="2168"/>
      <c r="G214" s="2168"/>
      <c r="H214" s="2168"/>
      <c r="I214" s="2168"/>
      <c r="J214" s="2121"/>
    </row>
    <row r="215" spans="6:10">
      <c r="F215" s="2168"/>
      <c r="G215" s="2168"/>
      <c r="H215" s="2168"/>
      <c r="I215" s="2168"/>
      <c r="J215" s="2121"/>
    </row>
    <row r="216" spans="6:10">
      <c r="F216" s="2168"/>
      <c r="G216" s="2168"/>
      <c r="H216" s="2168"/>
      <c r="I216" s="2168"/>
      <c r="J216" s="2121"/>
    </row>
    <row r="217" spans="6:10">
      <c r="F217" s="2168"/>
      <c r="G217" s="2168"/>
      <c r="H217" s="2168"/>
      <c r="I217" s="2168"/>
      <c r="J217" s="2121"/>
    </row>
    <row r="218" spans="6:10">
      <c r="F218" s="2168"/>
      <c r="G218" s="2168"/>
      <c r="H218" s="2168"/>
      <c r="I218" s="2168"/>
      <c r="J218" s="2121"/>
    </row>
    <row r="219" spans="6:10">
      <c r="F219" s="2168"/>
      <c r="G219" s="2168"/>
      <c r="H219" s="2168"/>
      <c r="I219" s="2168"/>
      <c r="J219" s="2121"/>
    </row>
    <row r="220" spans="6:10">
      <c r="F220" s="2168"/>
      <c r="G220" s="2168"/>
      <c r="H220" s="2168"/>
      <c r="I220" s="2168"/>
      <c r="J220" s="2121"/>
    </row>
    <row r="221" spans="6:10">
      <c r="F221" s="2168"/>
      <c r="G221" s="2168"/>
      <c r="H221" s="2168"/>
      <c r="I221" s="2168"/>
      <c r="J221" s="2121"/>
    </row>
    <row r="222" spans="6:10">
      <c r="F222" s="2168"/>
      <c r="G222" s="2168"/>
      <c r="H222" s="2168"/>
      <c r="I222" s="2168"/>
      <c r="J222" s="2121"/>
    </row>
    <row r="223" spans="6:10">
      <c r="F223" s="2168"/>
      <c r="G223" s="2168"/>
      <c r="H223" s="2168"/>
      <c r="I223" s="2168"/>
      <c r="J223" s="2121"/>
    </row>
    <row r="224" spans="6:10">
      <c r="F224" s="2168"/>
      <c r="G224" s="2168"/>
      <c r="H224" s="2168"/>
      <c r="I224" s="2168"/>
      <c r="J224" s="2121"/>
    </row>
    <row r="225" spans="6:10">
      <c r="F225" s="2168"/>
      <c r="G225" s="2168"/>
      <c r="H225" s="2168"/>
      <c r="I225" s="2168"/>
      <c r="J225" s="2121"/>
    </row>
    <row r="226" spans="6:10">
      <c r="F226" s="2168"/>
      <c r="G226" s="2168"/>
      <c r="H226" s="2168"/>
      <c r="I226" s="2168"/>
      <c r="J226" s="2121"/>
    </row>
    <row r="227" spans="6:10">
      <c r="F227" s="2168"/>
      <c r="G227" s="2168"/>
      <c r="H227" s="2168"/>
      <c r="I227" s="2168"/>
      <c r="J227" s="2121"/>
    </row>
    <row r="228" spans="6:10">
      <c r="F228" s="2168"/>
      <c r="G228" s="2168"/>
      <c r="H228" s="2168"/>
      <c r="I228" s="2168"/>
      <c r="J228" s="2121"/>
    </row>
    <row r="229" spans="6:10">
      <c r="F229" s="2168"/>
      <c r="G229" s="2168"/>
      <c r="H229" s="2168"/>
      <c r="I229" s="2168"/>
      <c r="J229" s="2121"/>
    </row>
    <row r="230" spans="6:10">
      <c r="F230" s="2168"/>
      <c r="G230" s="2168"/>
      <c r="H230" s="2168"/>
      <c r="I230" s="2168"/>
      <c r="J230" s="2121"/>
    </row>
    <row r="231" spans="6:10">
      <c r="F231" s="2168"/>
      <c r="G231" s="2168"/>
      <c r="H231" s="2168"/>
      <c r="I231" s="2168"/>
      <c r="J231" s="2121"/>
    </row>
    <row r="232" spans="6:10">
      <c r="F232" s="2168"/>
      <c r="G232" s="2168"/>
      <c r="H232" s="2168"/>
      <c r="I232" s="2168"/>
      <c r="J232" s="2121"/>
    </row>
    <row r="233" spans="6:10">
      <c r="F233" s="2168"/>
      <c r="G233" s="2168"/>
      <c r="H233" s="2168"/>
      <c r="I233" s="2168"/>
      <c r="J233" s="2121"/>
    </row>
    <row r="234" spans="6:10">
      <c r="F234" s="2168"/>
      <c r="G234" s="2168"/>
      <c r="H234" s="2168"/>
      <c r="I234" s="2168"/>
      <c r="J234" s="2121"/>
    </row>
    <row r="235" spans="6:10">
      <c r="F235" s="2168"/>
      <c r="G235" s="2168"/>
      <c r="H235" s="2168"/>
      <c r="I235" s="2168"/>
      <c r="J235" s="2121"/>
    </row>
    <row r="236" spans="6:10">
      <c r="F236" s="2168"/>
      <c r="G236" s="2168"/>
      <c r="H236" s="2168"/>
      <c r="I236" s="2168"/>
      <c r="J236" s="2121"/>
    </row>
    <row r="237" spans="6:10">
      <c r="F237" s="2168"/>
      <c r="G237" s="2168"/>
      <c r="H237" s="2168"/>
      <c r="I237" s="2168"/>
      <c r="J237" s="2121"/>
    </row>
    <row r="238" spans="6:10">
      <c r="F238" s="2168"/>
      <c r="G238" s="2168"/>
      <c r="H238" s="2168"/>
      <c r="I238" s="2168"/>
      <c r="J238" s="2121"/>
    </row>
    <row r="239" spans="6:10">
      <c r="F239" s="2168"/>
      <c r="G239" s="2168"/>
      <c r="H239" s="2168"/>
      <c r="I239" s="2168"/>
      <c r="J239" s="2121"/>
    </row>
    <row r="240" spans="6:10">
      <c r="F240" s="2168"/>
      <c r="G240" s="2168"/>
      <c r="H240" s="2168"/>
      <c r="I240" s="2168"/>
      <c r="J240" s="2121"/>
    </row>
    <row r="241" spans="6:10">
      <c r="F241" s="2168"/>
      <c r="G241" s="2168"/>
      <c r="H241" s="2168"/>
      <c r="I241" s="2168"/>
      <c r="J241" s="2121"/>
    </row>
    <row r="242" spans="6:10">
      <c r="F242" s="2168"/>
      <c r="G242" s="2168"/>
      <c r="H242" s="2168"/>
      <c r="I242" s="2168"/>
      <c r="J242" s="2121"/>
    </row>
    <row r="243" spans="6:10">
      <c r="F243" s="2168"/>
      <c r="G243" s="2168"/>
      <c r="H243" s="2168"/>
      <c r="I243" s="2168"/>
      <c r="J243" s="2121"/>
    </row>
    <row r="244" spans="6:10">
      <c r="F244" s="2168"/>
      <c r="G244" s="2168"/>
      <c r="H244" s="2168"/>
      <c r="I244" s="2168"/>
      <c r="J244" s="2121"/>
    </row>
    <row r="245" spans="6:10">
      <c r="F245" s="2168"/>
      <c r="G245" s="2168"/>
      <c r="H245" s="2168"/>
      <c r="I245" s="2168"/>
      <c r="J245" s="2121"/>
    </row>
    <row r="246" spans="6:10">
      <c r="F246" s="2168"/>
      <c r="G246" s="2168"/>
      <c r="H246" s="2168"/>
      <c r="I246" s="2168"/>
      <c r="J246" s="2121"/>
    </row>
    <row r="247" spans="6:10">
      <c r="F247" s="2168"/>
      <c r="G247" s="2168"/>
      <c r="H247" s="2168"/>
      <c r="I247" s="2168"/>
      <c r="J247" s="2121"/>
    </row>
    <row r="248" spans="6:10">
      <c r="F248" s="2168"/>
      <c r="G248" s="2168"/>
      <c r="H248" s="2168"/>
      <c r="I248" s="2168"/>
      <c r="J248" s="2121"/>
    </row>
    <row r="249" spans="6:10">
      <c r="F249" s="2168"/>
      <c r="G249" s="2168"/>
      <c r="H249" s="2168"/>
      <c r="I249" s="2168"/>
      <c r="J249" s="2121"/>
    </row>
    <row r="250" spans="6:10">
      <c r="F250" s="2168"/>
      <c r="G250" s="2168"/>
      <c r="H250" s="2168"/>
      <c r="I250" s="2168"/>
      <c r="J250" s="2121"/>
    </row>
    <row r="251" spans="6:10">
      <c r="F251" s="2168"/>
      <c r="G251" s="2168"/>
      <c r="H251" s="2168"/>
      <c r="I251" s="2168"/>
      <c r="J251" s="2121"/>
    </row>
    <row r="252" spans="6:10">
      <c r="F252" s="2168"/>
      <c r="G252" s="2168"/>
      <c r="H252" s="2168"/>
      <c r="I252" s="2168"/>
      <c r="J252" s="2121"/>
    </row>
    <row r="253" spans="6:10">
      <c r="F253" s="2168"/>
      <c r="G253" s="2168"/>
      <c r="H253" s="2168"/>
      <c r="I253" s="2168"/>
      <c r="J253" s="2121"/>
    </row>
    <row r="254" spans="6:10">
      <c r="F254" s="2168"/>
      <c r="G254" s="2168"/>
      <c r="H254" s="2168"/>
      <c r="I254" s="2168"/>
      <c r="J254" s="2121"/>
    </row>
    <row r="255" spans="6:10">
      <c r="F255" s="2168"/>
      <c r="G255" s="2168"/>
      <c r="H255" s="2168"/>
      <c r="I255" s="2168"/>
      <c r="J255" s="2121"/>
    </row>
    <row r="256" spans="6:10">
      <c r="F256" s="2168"/>
      <c r="G256" s="2168"/>
      <c r="H256" s="2168"/>
      <c r="I256" s="2168"/>
      <c r="J256" s="2121"/>
    </row>
    <row r="257" spans="6:10">
      <c r="F257" s="2168"/>
      <c r="G257" s="2168"/>
      <c r="H257" s="2168"/>
      <c r="I257" s="2168"/>
      <c r="J257" s="2121"/>
    </row>
    <row r="258" spans="6:10">
      <c r="F258" s="2168"/>
      <c r="G258" s="2168"/>
      <c r="H258" s="2168"/>
      <c r="I258" s="2168"/>
      <c r="J258" s="2121"/>
    </row>
    <row r="259" spans="6:10">
      <c r="F259" s="2168"/>
      <c r="G259" s="2168"/>
      <c r="H259" s="2168"/>
      <c r="I259" s="2168"/>
      <c r="J259" s="2121"/>
    </row>
    <row r="260" spans="6:10">
      <c r="F260" s="2168"/>
      <c r="G260" s="2168"/>
      <c r="H260" s="2168"/>
      <c r="I260" s="2168"/>
      <c r="J260" s="2121"/>
    </row>
    <row r="261" spans="6:10">
      <c r="F261" s="2168"/>
      <c r="G261" s="2168"/>
      <c r="H261" s="2168"/>
      <c r="I261" s="2168"/>
      <c r="J261" s="2121"/>
    </row>
    <row r="262" spans="6:10">
      <c r="F262" s="2168"/>
      <c r="G262" s="2168"/>
      <c r="H262" s="2168"/>
      <c r="I262" s="2168"/>
      <c r="J262" s="2121"/>
    </row>
    <row r="263" spans="6:10">
      <c r="F263" s="2168"/>
      <c r="G263" s="2168"/>
      <c r="H263" s="2168"/>
      <c r="I263" s="2168"/>
      <c r="J263" s="2121"/>
    </row>
    <row r="264" spans="6:10">
      <c r="F264" s="2168"/>
      <c r="G264" s="2168"/>
      <c r="H264" s="2168"/>
      <c r="I264" s="2168"/>
      <c r="J264" s="2121"/>
    </row>
    <row r="265" spans="6:10">
      <c r="F265" s="2168"/>
      <c r="G265" s="2168"/>
      <c r="H265" s="2168"/>
      <c r="I265" s="2168"/>
      <c r="J265" s="2121"/>
    </row>
    <row r="266" spans="6:10">
      <c r="F266" s="2168"/>
      <c r="G266" s="2168"/>
      <c r="H266" s="2168"/>
      <c r="I266" s="2168"/>
      <c r="J266" s="2121"/>
    </row>
    <row r="267" spans="6:10">
      <c r="F267" s="2168"/>
      <c r="G267" s="2168"/>
      <c r="H267" s="2168"/>
      <c r="I267" s="2168"/>
      <c r="J267" s="2121"/>
    </row>
    <row r="268" spans="6:10">
      <c r="F268" s="2168"/>
      <c r="G268" s="2168"/>
      <c r="H268" s="2168"/>
      <c r="I268" s="2168"/>
      <c r="J268" s="2121"/>
    </row>
    <row r="269" spans="6:10">
      <c r="F269" s="2168"/>
      <c r="G269" s="2168"/>
      <c r="H269" s="2168"/>
      <c r="I269" s="2168"/>
      <c r="J269" s="2121"/>
    </row>
    <row r="270" spans="6:10">
      <c r="F270" s="2168"/>
      <c r="G270" s="2168"/>
      <c r="H270" s="2168"/>
      <c r="I270" s="2168"/>
      <c r="J270" s="2121"/>
    </row>
    <row r="271" spans="6:10">
      <c r="F271" s="2168"/>
      <c r="G271" s="2168"/>
      <c r="H271" s="2168"/>
      <c r="I271" s="2168"/>
      <c r="J271" s="2121"/>
    </row>
    <row r="272" spans="6:10">
      <c r="F272" s="2168"/>
      <c r="G272" s="2168"/>
      <c r="H272" s="2168"/>
      <c r="I272" s="2168"/>
      <c r="J272" s="2121"/>
    </row>
    <row r="273" spans="6:10">
      <c r="F273" s="2168"/>
      <c r="G273" s="2168"/>
      <c r="H273" s="2168"/>
      <c r="I273" s="2168"/>
      <c r="J273" s="2121"/>
    </row>
    <row r="274" spans="6:10">
      <c r="F274" s="2168"/>
      <c r="G274" s="2168"/>
      <c r="H274" s="2168"/>
      <c r="I274" s="2168"/>
      <c r="J274" s="2121"/>
    </row>
    <row r="275" spans="6:10">
      <c r="F275" s="2168"/>
      <c r="G275" s="2168"/>
      <c r="H275" s="2168"/>
      <c r="I275" s="2168"/>
      <c r="J275" s="2121"/>
    </row>
    <row r="276" spans="6:10">
      <c r="F276" s="2168"/>
      <c r="G276" s="2168"/>
      <c r="H276" s="2168"/>
      <c r="I276" s="2168"/>
      <c r="J276" s="2121"/>
    </row>
    <row r="277" spans="6:10">
      <c r="F277" s="2168"/>
      <c r="G277" s="2168"/>
      <c r="H277" s="2168"/>
      <c r="I277" s="2168"/>
      <c r="J277" s="2121"/>
    </row>
    <row r="278" spans="6:10">
      <c r="F278" s="2168"/>
      <c r="G278" s="2168"/>
      <c r="H278" s="2168"/>
      <c r="I278" s="2168"/>
      <c r="J278" s="2121"/>
    </row>
    <row r="279" spans="6:10">
      <c r="F279" s="2168"/>
      <c r="G279" s="2168"/>
      <c r="H279" s="2168"/>
      <c r="I279" s="2168"/>
      <c r="J279" s="2121"/>
    </row>
    <row r="280" spans="6:10">
      <c r="F280" s="2168"/>
      <c r="G280" s="2168"/>
      <c r="H280" s="2168"/>
      <c r="I280" s="2168"/>
      <c r="J280" s="2121"/>
    </row>
    <row r="281" spans="6:10">
      <c r="F281" s="2168"/>
      <c r="G281" s="2168"/>
      <c r="H281" s="2168"/>
      <c r="I281" s="2168"/>
      <c r="J281" s="2121"/>
    </row>
    <row r="282" spans="6:10">
      <c r="F282" s="2168"/>
      <c r="G282" s="2168"/>
      <c r="H282" s="2168"/>
      <c r="I282" s="2168"/>
      <c r="J282" s="2121"/>
    </row>
    <row r="283" spans="6:10">
      <c r="F283" s="2168"/>
      <c r="G283" s="2168"/>
      <c r="H283" s="2168"/>
      <c r="I283" s="2168"/>
      <c r="J283" s="2121"/>
    </row>
    <row r="284" spans="6:10">
      <c r="F284" s="2168"/>
      <c r="G284" s="2168"/>
      <c r="H284" s="2168"/>
      <c r="I284" s="2168"/>
      <c r="J284" s="2121"/>
    </row>
    <row r="285" spans="6:10">
      <c r="F285" s="2168"/>
      <c r="G285" s="2168"/>
      <c r="H285" s="2168"/>
      <c r="I285" s="2168"/>
      <c r="J285" s="2121"/>
    </row>
    <row r="286" spans="6:10">
      <c r="F286" s="2168"/>
      <c r="G286" s="2168"/>
      <c r="H286" s="2168"/>
      <c r="I286" s="2168"/>
      <c r="J286" s="2121"/>
    </row>
    <row r="287" spans="6:10">
      <c r="F287" s="2168"/>
      <c r="G287" s="2168"/>
      <c r="H287" s="2168"/>
      <c r="I287" s="2168"/>
      <c r="J287" s="2121"/>
    </row>
    <row r="288" spans="6:10">
      <c r="F288" s="2168"/>
      <c r="G288" s="2168"/>
      <c r="H288" s="2168"/>
      <c r="I288" s="2168"/>
      <c r="J288" s="2121"/>
    </row>
    <row r="289" spans="6:10">
      <c r="F289" s="2168"/>
      <c r="G289" s="2168"/>
      <c r="H289" s="2168"/>
      <c r="I289" s="2168"/>
      <c r="J289" s="2121"/>
    </row>
    <row r="290" spans="6:10">
      <c r="F290" s="2168"/>
      <c r="G290" s="2168"/>
      <c r="H290" s="2168"/>
      <c r="I290" s="2168"/>
      <c r="J290" s="2121"/>
    </row>
    <row r="291" spans="6:10">
      <c r="F291" s="2168"/>
      <c r="G291" s="2168"/>
      <c r="H291" s="2168"/>
      <c r="I291" s="2168"/>
      <c r="J291" s="2121"/>
    </row>
    <row r="292" spans="6:10">
      <c r="F292" s="2168"/>
      <c r="G292" s="2168"/>
      <c r="H292" s="2168"/>
      <c r="I292" s="2168"/>
      <c r="J292" s="2121"/>
    </row>
    <row r="293" spans="6:10">
      <c r="F293" s="2168"/>
      <c r="G293" s="2168"/>
      <c r="H293" s="2168"/>
      <c r="I293" s="2168"/>
      <c r="J293" s="2121"/>
    </row>
    <row r="294" spans="6:10">
      <c r="F294" s="2168"/>
      <c r="G294" s="2168"/>
      <c r="H294" s="2168"/>
      <c r="I294" s="2168"/>
      <c r="J294" s="2121"/>
    </row>
    <row r="295" spans="6:10">
      <c r="F295" s="2168"/>
      <c r="G295" s="2168"/>
      <c r="H295" s="2168"/>
      <c r="I295" s="2168"/>
      <c r="J295" s="2121"/>
    </row>
    <row r="296" spans="6:10">
      <c r="F296" s="2168"/>
      <c r="G296" s="2168"/>
      <c r="H296" s="2168"/>
      <c r="I296" s="2168"/>
      <c r="J296" s="2121"/>
    </row>
    <row r="297" spans="6:10">
      <c r="F297" s="2168"/>
      <c r="G297" s="2168"/>
      <c r="H297" s="2168"/>
      <c r="I297" s="2168"/>
      <c r="J297" s="2121"/>
    </row>
    <row r="298" spans="6:10">
      <c r="F298" s="2168"/>
      <c r="G298" s="2168"/>
      <c r="H298" s="2168"/>
      <c r="I298" s="2168"/>
      <c r="J298" s="2121"/>
    </row>
    <row r="299" spans="6:10">
      <c r="F299" s="2168"/>
      <c r="G299" s="2168"/>
      <c r="H299" s="2168"/>
      <c r="I299" s="2168"/>
      <c r="J299" s="2121"/>
    </row>
    <row r="300" spans="6:10">
      <c r="F300" s="2168"/>
      <c r="G300" s="2168"/>
      <c r="H300" s="2168"/>
      <c r="I300" s="2168"/>
      <c r="J300" s="2121"/>
    </row>
    <row r="301" spans="6:10">
      <c r="F301" s="2168"/>
      <c r="G301" s="2168"/>
      <c r="H301" s="2168"/>
      <c r="I301" s="2168"/>
      <c r="J301" s="2121"/>
    </row>
    <row r="302" spans="6:10">
      <c r="F302" s="2168"/>
      <c r="G302" s="2168"/>
      <c r="H302" s="2168"/>
      <c r="I302" s="2168"/>
      <c r="J302" s="2121"/>
    </row>
    <row r="303" spans="6:10">
      <c r="F303" s="2168"/>
      <c r="G303" s="2168"/>
      <c r="H303" s="2168"/>
      <c r="I303" s="2168"/>
      <c r="J303" s="2121"/>
    </row>
    <row r="304" spans="6:10">
      <c r="F304" s="2168"/>
      <c r="G304" s="2168"/>
      <c r="H304" s="2168"/>
      <c r="I304" s="2168"/>
      <c r="J304" s="2121"/>
    </row>
    <row r="305" spans="6:10">
      <c r="F305" s="2168"/>
      <c r="G305" s="2168"/>
      <c r="H305" s="2168"/>
      <c r="I305" s="2168"/>
      <c r="J305" s="2121"/>
    </row>
    <row r="306" spans="6:10">
      <c r="F306" s="2168"/>
      <c r="G306" s="2168"/>
      <c r="H306" s="2168"/>
      <c r="I306" s="2168"/>
      <c r="J306" s="2121"/>
    </row>
    <row r="307" spans="6:10">
      <c r="F307" s="2168"/>
      <c r="G307" s="2168"/>
      <c r="H307" s="2168"/>
      <c r="I307" s="2168"/>
      <c r="J307" s="2121"/>
    </row>
    <row r="308" spans="6:10">
      <c r="F308" s="2168"/>
      <c r="G308" s="2168"/>
      <c r="H308" s="2168"/>
      <c r="I308" s="2168"/>
      <c r="J308" s="2121"/>
    </row>
    <row r="309" spans="6:10">
      <c r="F309" s="2168"/>
      <c r="G309" s="2168"/>
      <c r="H309" s="2168"/>
      <c r="I309" s="2168"/>
      <c r="J309" s="2121"/>
    </row>
    <row r="310" spans="6:10">
      <c r="F310" s="2168"/>
      <c r="G310" s="2168"/>
      <c r="H310" s="2168"/>
      <c r="I310" s="2168"/>
      <c r="J310" s="2121"/>
    </row>
    <row r="311" spans="6:10">
      <c r="F311" s="2168"/>
      <c r="G311" s="2168"/>
      <c r="H311" s="2168"/>
      <c r="I311" s="2168"/>
      <c r="J311" s="2121"/>
    </row>
    <row r="312" spans="6:10">
      <c r="F312" s="2168"/>
      <c r="G312" s="2168"/>
      <c r="H312" s="2168"/>
      <c r="I312" s="2168"/>
      <c r="J312" s="2121"/>
    </row>
    <row r="313" spans="6:10">
      <c r="F313" s="2168"/>
      <c r="G313" s="2168"/>
      <c r="H313" s="2168"/>
      <c r="I313" s="2168"/>
      <c r="J313" s="2121"/>
    </row>
    <row r="314" spans="6:10">
      <c r="F314" s="2168"/>
      <c r="G314" s="2168"/>
      <c r="H314" s="2168"/>
      <c r="I314" s="2168"/>
      <c r="J314" s="2121"/>
    </row>
    <row r="315" spans="6:10">
      <c r="F315" s="2168"/>
      <c r="G315" s="2168"/>
      <c r="H315" s="2168"/>
      <c r="I315" s="2168"/>
      <c r="J315" s="2121"/>
    </row>
    <row r="316" spans="6:10">
      <c r="F316" s="2168"/>
      <c r="G316" s="2168"/>
      <c r="H316" s="2168"/>
      <c r="I316" s="2168"/>
      <c r="J316" s="2121"/>
    </row>
    <row r="317" spans="6:10">
      <c r="F317" s="2168"/>
      <c r="G317" s="2168"/>
      <c r="H317" s="2168"/>
      <c r="I317" s="2168"/>
      <c r="J317" s="2121"/>
    </row>
    <row r="318" spans="6:10">
      <c r="F318" s="2168"/>
      <c r="G318" s="2168"/>
      <c r="H318" s="2168"/>
      <c r="I318" s="2168"/>
      <c r="J318" s="2121"/>
    </row>
    <row r="319" spans="6:10">
      <c r="F319" s="2168"/>
      <c r="G319" s="2168"/>
      <c r="H319" s="2168"/>
      <c r="I319" s="2168"/>
      <c r="J319" s="2121"/>
    </row>
    <row r="320" spans="6:10">
      <c r="F320" s="2168"/>
      <c r="G320" s="2168"/>
      <c r="H320" s="2168"/>
      <c r="I320" s="2168"/>
      <c r="J320" s="2121"/>
    </row>
    <row r="321" spans="6:10">
      <c r="F321" s="2168"/>
      <c r="G321" s="2168"/>
      <c r="H321" s="2168"/>
      <c r="I321" s="2168"/>
      <c r="J321" s="2121"/>
    </row>
    <row r="322" spans="6:10">
      <c r="F322" s="2168"/>
      <c r="G322" s="2168"/>
      <c r="H322" s="2168"/>
      <c r="I322" s="2168"/>
      <c r="J322" s="2121"/>
    </row>
    <row r="323" spans="6:10">
      <c r="F323" s="2168"/>
      <c r="G323" s="2168"/>
      <c r="H323" s="2168"/>
      <c r="I323" s="2168"/>
      <c r="J323" s="2121"/>
    </row>
    <row r="324" spans="6:10">
      <c r="F324" s="2168"/>
      <c r="G324" s="2168"/>
      <c r="H324" s="2168"/>
      <c r="I324" s="2168"/>
      <c r="J324" s="2121"/>
    </row>
    <row r="325" spans="6:10">
      <c r="F325" s="2168"/>
      <c r="G325" s="2168"/>
      <c r="H325" s="2168"/>
      <c r="I325" s="2168"/>
      <c r="J325" s="2121"/>
    </row>
    <row r="326" spans="6:10">
      <c r="F326" s="2168"/>
      <c r="G326" s="2168"/>
      <c r="H326" s="2168"/>
      <c r="I326" s="2168"/>
      <c r="J326" s="2121"/>
    </row>
    <row r="327" spans="6:10">
      <c r="F327" s="2168"/>
      <c r="G327" s="2168"/>
      <c r="H327" s="2168"/>
      <c r="I327" s="2168"/>
      <c r="J327" s="2121"/>
    </row>
    <row r="328" spans="6:10">
      <c r="F328" s="2168"/>
      <c r="G328" s="2168"/>
      <c r="H328" s="2168"/>
      <c r="I328" s="2168"/>
      <c r="J328" s="2121"/>
    </row>
    <row r="329" spans="6:10">
      <c r="F329" s="2168"/>
      <c r="G329" s="2168"/>
      <c r="H329" s="2168"/>
      <c r="I329" s="2168"/>
      <c r="J329" s="2121"/>
    </row>
    <row r="330" spans="6:10">
      <c r="F330" s="2168"/>
      <c r="G330" s="2168"/>
      <c r="H330" s="2168"/>
      <c r="I330" s="2168"/>
      <c r="J330" s="2121"/>
    </row>
    <row r="331" spans="6:10">
      <c r="F331" s="2168"/>
      <c r="G331" s="2168"/>
      <c r="H331" s="2168"/>
      <c r="I331" s="2168"/>
      <c r="J331" s="2121"/>
    </row>
    <row r="332" spans="6:10">
      <c r="F332" s="2168"/>
      <c r="G332" s="2168"/>
      <c r="H332" s="2168"/>
      <c r="I332" s="2168"/>
      <c r="J332" s="2121"/>
    </row>
    <row r="333" spans="6:10">
      <c r="F333" s="2168"/>
      <c r="G333" s="2168"/>
      <c r="H333" s="2168"/>
      <c r="I333" s="2168"/>
      <c r="J333" s="2121"/>
    </row>
    <row r="334" spans="6:10">
      <c r="F334" s="2168"/>
      <c r="G334" s="2168"/>
      <c r="H334" s="2168"/>
      <c r="I334" s="2168"/>
      <c r="J334" s="2121"/>
    </row>
    <row r="335" spans="6:10">
      <c r="F335" s="2168"/>
      <c r="G335" s="2168"/>
      <c r="H335" s="2168"/>
      <c r="I335" s="2168"/>
      <c r="J335" s="2121"/>
    </row>
    <row r="336" spans="6:10">
      <c r="F336" s="2168"/>
      <c r="G336" s="2168"/>
      <c r="H336" s="2168"/>
      <c r="I336" s="2168"/>
      <c r="J336" s="2121"/>
    </row>
    <row r="337" spans="6:10">
      <c r="F337" s="2168"/>
      <c r="G337" s="2168"/>
      <c r="H337" s="2168"/>
      <c r="I337" s="2168"/>
      <c r="J337" s="2121"/>
    </row>
    <row r="338" spans="6:10">
      <c r="F338" s="2168"/>
      <c r="G338" s="2168"/>
      <c r="H338" s="2168"/>
      <c r="I338" s="2168"/>
      <c r="J338" s="2121"/>
    </row>
    <row r="339" spans="6:10">
      <c r="F339" s="2168"/>
      <c r="G339" s="2168"/>
      <c r="H339" s="2168"/>
      <c r="I339" s="2168"/>
      <c r="J339" s="2121"/>
    </row>
    <row r="340" spans="6:10">
      <c r="F340" s="2168"/>
      <c r="G340" s="2168"/>
      <c r="H340" s="2168"/>
      <c r="I340" s="2168"/>
      <c r="J340" s="2121"/>
    </row>
    <row r="341" spans="6:10">
      <c r="F341" s="2168"/>
      <c r="G341" s="2168"/>
      <c r="H341" s="2168"/>
      <c r="I341" s="2168"/>
      <c r="J341" s="2121"/>
    </row>
    <row r="342" spans="6:10">
      <c r="F342" s="2168"/>
      <c r="G342" s="2168"/>
      <c r="H342" s="2168"/>
      <c r="I342" s="2168"/>
      <c r="J342" s="2121"/>
    </row>
    <row r="343" spans="6:10">
      <c r="F343" s="2168"/>
      <c r="G343" s="2168"/>
      <c r="H343" s="2168"/>
      <c r="I343" s="2168"/>
      <c r="J343" s="2121"/>
    </row>
    <row r="344" spans="6:10">
      <c r="F344" s="2168"/>
      <c r="G344" s="2168"/>
      <c r="H344" s="2168"/>
      <c r="I344" s="2168"/>
      <c r="J344" s="2121"/>
    </row>
    <row r="345" spans="6:10">
      <c r="F345" s="2168"/>
      <c r="G345" s="2168"/>
      <c r="H345" s="2168"/>
      <c r="I345" s="2168"/>
      <c r="J345" s="2121"/>
    </row>
    <row r="346" spans="6:10">
      <c r="F346" s="2168"/>
      <c r="G346" s="2168"/>
      <c r="H346" s="2168"/>
      <c r="I346" s="2168"/>
      <c r="J346" s="2121"/>
    </row>
    <row r="347" spans="6:10">
      <c r="F347" s="2168"/>
      <c r="G347" s="2168"/>
      <c r="H347" s="2168"/>
      <c r="I347" s="2168"/>
      <c r="J347" s="2121"/>
    </row>
    <row r="348" spans="6:10">
      <c r="F348" s="2168"/>
      <c r="G348" s="2168"/>
      <c r="H348" s="2168"/>
      <c r="I348" s="2168"/>
      <c r="J348" s="2121"/>
    </row>
    <row r="349" spans="6:10">
      <c r="F349" s="2168"/>
      <c r="G349" s="2168"/>
      <c r="H349" s="2168"/>
      <c r="I349" s="2168"/>
      <c r="J349" s="2121"/>
    </row>
    <row r="350" spans="6:10">
      <c r="F350" s="2168"/>
      <c r="G350" s="2168"/>
      <c r="H350" s="2168"/>
      <c r="I350" s="2168"/>
      <c r="J350" s="2121"/>
    </row>
    <row r="351" spans="6:10">
      <c r="F351" s="2168"/>
      <c r="G351" s="2168"/>
      <c r="H351" s="2168"/>
      <c r="I351" s="2168"/>
      <c r="J351" s="2121"/>
    </row>
    <row r="352" spans="6:10">
      <c r="F352" s="2168"/>
      <c r="G352" s="2168"/>
      <c r="H352" s="2168"/>
      <c r="I352" s="2168"/>
      <c r="J352" s="2121"/>
    </row>
    <row r="353" spans="6:10">
      <c r="F353" s="2168"/>
      <c r="G353" s="2168"/>
      <c r="H353" s="2168"/>
      <c r="I353" s="2168"/>
      <c r="J353" s="2121"/>
    </row>
    <row r="354" spans="6:10">
      <c r="F354" s="2168"/>
      <c r="G354" s="2168"/>
      <c r="H354" s="2168"/>
      <c r="I354" s="2168"/>
      <c r="J354" s="2121"/>
    </row>
    <row r="355" spans="6:10">
      <c r="F355" s="2168"/>
      <c r="G355" s="2168"/>
      <c r="H355" s="2168"/>
      <c r="I355" s="2168"/>
      <c r="J355" s="2121"/>
    </row>
    <row r="356" spans="6:10">
      <c r="F356" s="2168"/>
      <c r="G356" s="2168"/>
      <c r="H356" s="2168"/>
      <c r="I356" s="2168"/>
      <c r="J356" s="2121"/>
    </row>
    <row r="357" spans="6:10">
      <c r="F357" s="2168"/>
      <c r="G357" s="2168"/>
      <c r="H357" s="2168"/>
      <c r="I357" s="2168"/>
      <c r="J357" s="2121"/>
    </row>
    <row r="358" spans="6:10">
      <c r="F358" s="2168"/>
      <c r="G358" s="2168"/>
      <c r="H358" s="2168"/>
      <c r="I358" s="2168"/>
      <c r="J358" s="2121"/>
    </row>
    <row r="359" spans="6:10">
      <c r="F359" s="2168"/>
      <c r="G359" s="2168"/>
      <c r="H359" s="2168"/>
      <c r="I359" s="2168"/>
      <c r="J359" s="2121"/>
    </row>
    <row r="360" spans="6:10">
      <c r="F360" s="2168"/>
      <c r="G360" s="2168"/>
      <c r="H360" s="2168"/>
      <c r="I360" s="2168"/>
      <c r="J360" s="2121"/>
    </row>
    <row r="361" spans="6:10">
      <c r="F361" s="2168"/>
      <c r="G361" s="2168"/>
      <c r="H361" s="2168"/>
      <c r="I361" s="2168"/>
      <c r="J361" s="2121"/>
    </row>
    <row r="362" spans="6:10">
      <c r="F362" s="2168"/>
      <c r="G362" s="2168"/>
      <c r="H362" s="2168"/>
      <c r="I362" s="2168"/>
      <c r="J362" s="2121"/>
    </row>
    <row r="363" spans="6:10">
      <c r="F363" s="2168"/>
      <c r="G363" s="2168"/>
      <c r="H363" s="2168"/>
      <c r="I363" s="2168"/>
      <c r="J363" s="2121"/>
    </row>
    <row r="364" spans="6:10">
      <c r="F364" s="2168"/>
      <c r="G364" s="2168"/>
      <c r="H364" s="2168"/>
      <c r="I364" s="2168"/>
      <c r="J364" s="2121"/>
    </row>
    <row r="365" spans="6:10">
      <c r="F365" s="2168"/>
      <c r="G365" s="2168"/>
      <c r="H365" s="2168"/>
      <c r="I365" s="2168"/>
      <c r="J365" s="2121"/>
    </row>
    <row r="366" spans="6:10">
      <c r="F366" s="2168"/>
      <c r="G366" s="2168"/>
      <c r="H366" s="2168"/>
      <c r="I366" s="2168"/>
      <c r="J366" s="2121"/>
    </row>
    <row r="367" spans="6:10">
      <c r="F367" s="2168"/>
      <c r="G367" s="2168"/>
      <c r="H367" s="2168"/>
      <c r="I367" s="2168"/>
      <c r="J367" s="2121"/>
    </row>
    <row r="368" spans="6:10">
      <c r="F368" s="2168"/>
      <c r="G368" s="2168"/>
      <c r="H368" s="2168"/>
      <c r="I368" s="2168"/>
      <c r="J368" s="2121"/>
    </row>
    <row r="369" spans="6:10">
      <c r="F369" s="2168"/>
      <c r="G369" s="2168"/>
      <c r="H369" s="2168"/>
      <c r="I369" s="2168"/>
      <c r="J369" s="2121"/>
    </row>
    <row r="370" spans="6:10">
      <c r="F370" s="2168"/>
      <c r="G370" s="2168"/>
      <c r="H370" s="2168"/>
      <c r="I370" s="2168"/>
      <c r="J370" s="2121"/>
    </row>
    <row r="371" spans="6:10">
      <c r="F371" s="2168"/>
      <c r="G371" s="2168"/>
      <c r="H371" s="2168"/>
      <c r="I371" s="2168"/>
      <c r="J371" s="2121"/>
    </row>
    <row r="372" spans="6:10">
      <c r="F372" s="2168"/>
      <c r="G372" s="2168"/>
      <c r="H372" s="2168"/>
      <c r="I372" s="2168"/>
      <c r="J372" s="2121"/>
    </row>
    <row r="373" spans="6:10">
      <c r="F373" s="2168"/>
      <c r="G373" s="2168"/>
      <c r="H373" s="2168"/>
      <c r="I373" s="2168"/>
      <c r="J373" s="2121"/>
    </row>
    <row r="374" spans="6:10">
      <c r="F374" s="2168"/>
      <c r="G374" s="2168"/>
      <c r="H374" s="2168"/>
      <c r="I374" s="2168"/>
      <c r="J374" s="2121"/>
    </row>
    <row r="375" spans="6:10">
      <c r="F375" s="2168"/>
      <c r="G375" s="2168"/>
      <c r="H375" s="2168"/>
      <c r="I375" s="2168"/>
      <c r="J375" s="2121"/>
    </row>
    <row r="376" spans="6:10">
      <c r="F376" s="2168"/>
      <c r="G376" s="2168"/>
      <c r="H376" s="2168"/>
      <c r="I376" s="2168"/>
      <c r="J376" s="2121"/>
    </row>
    <row r="377" spans="6:10">
      <c r="F377" s="2168"/>
      <c r="G377" s="2168"/>
      <c r="H377" s="2168"/>
      <c r="I377" s="2168"/>
      <c r="J377" s="2121"/>
    </row>
    <row r="378" spans="6:10">
      <c r="F378" s="2168"/>
      <c r="G378" s="2168"/>
      <c r="H378" s="2168"/>
      <c r="I378" s="2168"/>
      <c r="J378" s="2121"/>
    </row>
    <row r="379" spans="6:10">
      <c r="F379" s="2168"/>
      <c r="G379" s="2168"/>
      <c r="H379" s="2168"/>
      <c r="I379" s="2168"/>
      <c r="J379" s="2121"/>
    </row>
    <row r="380" spans="6:10">
      <c r="F380" s="2168"/>
      <c r="G380" s="2168"/>
      <c r="H380" s="2168"/>
      <c r="I380" s="2168"/>
      <c r="J380" s="2121"/>
    </row>
    <row r="381" spans="6:10">
      <c r="F381" s="2168"/>
      <c r="G381" s="2168"/>
      <c r="H381" s="2168"/>
      <c r="I381" s="2168"/>
      <c r="J381" s="2121"/>
    </row>
    <row r="382" spans="6:10">
      <c r="F382" s="2168"/>
      <c r="G382" s="2168"/>
      <c r="H382" s="2168"/>
      <c r="I382" s="2168"/>
      <c r="J382" s="2121"/>
    </row>
    <row r="383" spans="6:10">
      <c r="F383" s="2168"/>
      <c r="G383" s="2168"/>
      <c r="H383" s="2168"/>
      <c r="I383" s="2168"/>
      <c r="J383" s="2121"/>
    </row>
    <row r="384" spans="6:10">
      <c r="F384" s="2168"/>
      <c r="G384" s="2168"/>
      <c r="H384" s="2168"/>
      <c r="I384" s="2168"/>
      <c r="J384" s="2121"/>
    </row>
    <row r="385" spans="6:10">
      <c r="F385" s="2168"/>
      <c r="G385" s="2168"/>
      <c r="H385" s="2168"/>
      <c r="I385" s="2168"/>
      <c r="J385" s="2121"/>
    </row>
    <row r="386" spans="6:10">
      <c r="F386" s="2168"/>
      <c r="G386" s="2168"/>
      <c r="H386" s="2168"/>
      <c r="I386" s="2168"/>
      <c r="J386" s="2121"/>
    </row>
    <row r="387" spans="6:10">
      <c r="F387" s="2168"/>
      <c r="G387" s="2168"/>
      <c r="H387" s="2168"/>
      <c r="I387" s="2168"/>
      <c r="J387" s="2121"/>
    </row>
    <row r="388" spans="6:10">
      <c r="F388" s="2168"/>
      <c r="G388" s="2168"/>
      <c r="H388" s="2168"/>
      <c r="I388" s="2168"/>
      <c r="J388" s="2121"/>
    </row>
    <row r="389" spans="6:10">
      <c r="F389" s="2168"/>
      <c r="G389" s="2168"/>
      <c r="H389" s="2168"/>
      <c r="I389" s="2168"/>
      <c r="J389" s="2121"/>
    </row>
    <row r="390" spans="6:10">
      <c r="F390" s="2168"/>
      <c r="G390" s="2168"/>
      <c r="H390" s="2168"/>
      <c r="I390" s="2168"/>
      <c r="J390" s="2121"/>
    </row>
    <row r="391" spans="6:10">
      <c r="F391" s="2168"/>
      <c r="G391" s="2168"/>
      <c r="H391" s="2168"/>
      <c r="I391" s="2168"/>
      <c r="J391" s="2121"/>
    </row>
    <row r="392" spans="6:10">
      <c r="F392" s="2168"/>
      <c r="G392" s="2168"/>
      <c r="H392" s="2168"/>
      <c r="I392" s="2168"/>
      <c r="J392" s="2121"/>
    </row>
    <row r="393" spans="6:10">
      <c r="F393" s="2168"/>
      <c r="G393" s="2168"/>
      <c r="H393" s="2168"/>
      <c r="I393" s="2168"/>
      <c r="J393" s="2121"/>
    </row>
    <row r="394" spans="6:10">
      <c r="F394" s="2168"/>
      <c r="G394" s="2168"/>
      <c r="H394" s="2168"/>
      <c r="I394" s="2168"/>
      <c r="J394" s="2121"/>
    </row>
    <row r="395" spans="6:10">
      <c r="F395" s="2168"/>
      <c r="G395" s="2168"/>
      <c r="H395" s="2168"/>
      <c r="I395" s="2168"/>
      <c r="J395" s="2121"/>
    </row>
    <row r="396" spans="6:10">
      <c r="F396" s="2168"/>
      <c r="G396" s="2168"/>
      <c r="H396" s="2168"/>
      <c r="I396" s="2168"/>
      <c r="J396" s="2121"/>
    </row>
    <row r="397" spans="6:10">
      <c r="F397" s="2168"/>
      <c r="G397" s="2168"/>
      <c r="H397" s="2168"/>
      <c r="I397" s="2168"/>
      <c r="J397" s="2121"/>
    </row>
    <row r="398" spans="6:10">
      <c r="F398" s="2168"/>
      <c r="G398" s="2168"/>
      <c r="H398" s="2168"/>
      <c r="I398" s="2168"/>
      <c r="J398" s="2121"/>
    </row>
    <row r="399" spans="6:10">
      <c r="F399" s="2168"/>
      <c r="G399" s="2168"/>
      <c r="H399" s="2168"/>
      <c r="I399" s="2168"/>
      <c r="J399" s="2121"/>
    </row>
    <row r="400" spans="6:10">
      <c r="F400" s="2168"/>
      <c r="G400" s="2168"/>
      <c r="H400" s="2168"/>
      <c r="I400" s="2168"/>
      <c r="J400" s="2121"/>
    </row>
    <row r="401" spans="6:10">
      <c r="F401" s="2168"/>
      <c r="G401" s="2168"/>
      <c r="H401" s="2168"/>
      <c r="I401" s="2168"/>
      <c r="J401" s="2121"/>
    </row>
    <row r="402" spans="6:10">
      <c r="F402" s="2168"/>
      <c r="G402" s="2168"/>
      <c r="H402" s="2168"/>
      <c r="I402" s="2168"/>
      <c r="J402" s="2121"/>
    </row>
    <row r="403" spans="6:10">
      <c r="F403" s="2168"/>
      <c r="G403" s="2168"/>
      <c r="H403" s="2168"/>
      <c r="I403" s="2168"/>
      <c r="J403" s="2121"/>
    </row>
    <row r="404" spans="6:10">
      <c r="F404" s="2168"/>
      <c r="G404" s="2168"/>
      <c r="H404" s="2168"/>
      <c r="I404" s="2168"/>
      <c r="J404" s="2121"/>
    </row>
    <row r="405" spans="6:10">
      <c r="F405" s="2168"/>
      <c r="G405" s="2168"/>
      <c r="H405" s="2168"/>
      <c r="I405" s="2168"/>
      <c r="J405" s="2121"/>
    </row>
    <row r="406" spans="6:10">
      <c r="F406" s="2168"/>
      <c r="G406" s="2168"/>
      <c r="H406" s="2168"/>
      <c r="I406" s="2168"/>
      <c r="J406" s="2121"/>
    </row>
    <row r="407" spans="6:10">
      <c r="F407" s="2168"/>
      <c r="G407" s="2168"/>
      <c r="H407" s="2168"/>
      <c r="I407" s="2168"/>
      <c r="J407" s="2121"/>
    </row>
    <row r="408" spans="6:10">
      <c r="F408" s="2168"/>
      <c r="G408" s="2168"/>
      <c r="H408" s="2168"/>
      <c r="I408" s="2168"/>
      <c r="J408" s="2121"/>
    </row>
    <row r="409" spans="6:10">
      <c r="F409" s="2168"/>
      <c r="G409" s="2168"/>
      <c r="H409" s="2168"/>
      <c r="I409" s="2168"/>
      <c r="J409" s="2121"/>
    </row>
    <row r="410" spans="6:10">
      <c r="F410" s="2168"/>
      <c r="G410" s="2168"/>
      <c r="H410" s="2168"/>
      <c r="I410" s="2168"/>
      <c r="J410" s="2121"/>
    </row>
    <row r="411" spans="6:10">
      <c r="F411" s="2168"/>
      <c r="G411" s="2168"/>
      <c r="H411" s="2168"/>
      <c r="I411" s="2168"/>
      <c r="J411" s="2121"/>
    </row>
    <row r="412" spans="6:10">
      <c r="F412" s="2168"/>
      <c r="G412" s="2168"/>
      <c r="H412" s="2168"/>
      <c r="I412" s="2168"/>
      <c r="J412" s="2121"/>
    </row>
    <row r="413" spans="6:10">
      <c r="F413" s="2168"/>
      <c r="G413" s="2168"/>
      <c r="H413" s="2168"/>
      <c r="I413" s="2168"/>
      <c r="J413" s="2121"/>
    </row>
    <row r="414" spans="6:10">
      <c r="F414" s="2168"/>
      <c r="G414" s="2168"/>
      <c r="H414" s="2168"/>
      <c r="I414" s="2168"/>
      <c r="J414" s="2121"/>
    </row>
    <row r="415" spans="6:10">
      <c r="F415" s="2168"/>
      <c r="G415" s="2168"/>
      <c r="H415" s="2168"/>
      <c r="I415" s="2168"/>
      <c r="J415" s="2121"/>
    </row>
    <row r="416" spans="6:10">
      <c r="F416" s="2168"/>
      <c r="G416" s="2168"/>
      <c r="H416" s="2168"/>
      <c r="I416" s="2168"/>
      <c r="J416" s="2121"/>
    </row>
    <row r="417" spans="6:10">
      <c r="F417" s="2168"/>
      <c r="G417" s="2168"/>
      <c r="H417" s="2168"/>
      <c r="I417" s="2168"/>
      <c r="J417" s="2121"/>
    </row>
    <row r="418" spans="6:10">
      <c r="F418" s="2168"/>
      <c r="G418" s="2168"/>
      <c r="H418" s="2168"/>
      <c r="I418" s="2168"/>
      <c r="J418" s="2121"/>
    </row>
    <row r="419" spans="6:10">
      <c r="F419" s="2168"/>
      <c r="G419" s="2168"/>
      <c r="H419" s="2168"/>
      <c r="I419" s="2168"/>
      <c r="J419" s="2121"/>
    </row>
    <row r="420" spans="6:10">
      <c r="F420" s="2168"/>
      <c r="G420" s="2168"/>
      <c r="H420" s="2168"/>
      <c r="I420" s="2168"/>
      <c r="J420" s="2121"/>
    </row>
    <row r="421" spans="6:10">
      <c r="F421" s="2168"/>
      <c r="G421" s="2168"/>
      <c r="H421" s="2168"/>
      <c r="I421" s="2168"/>
      <c r="J421" s="2121"/>
    </row>
    <row r="422" spans="6:10">
      <c r="F422" s="2168"/>
      <c r="G422" s="2168"/>
      <c r="H422" s="2168"/>
      <c r="I422" s="2168"/>
      <c r="J422" s="2121"/>
    </row>
    <row r="423" spans="6:10">
      <c r="F423" s="2168"/>
      <c r="G423" s="2168"/>
      <c r="H423" s="2168"/>
      <c r="I423" s="2168"/>
      <c r="J423" s="2121"/>
    </row>
    <row r="424" spans="6:10">
      <c r="F424" s="2168"/>
      <c r="G424" s="2168"/>
      <c r="H424" s="2168"/>
      <c r="I424" s="2168"/>
      <c r="J424" s="2121"/>
    </row>
    <row r="425" spans="6:10">
      <c r="F425" s="2168"/>
      <c r="G425" s="2168"/>
      <c r="H425" s="2168"/>
      <c r="I425" s="2168"/>
      <c r="J425" s="2121"/>
    </row>
    <row r="426" spans="6:10">
      <c r="F426" s="2168"/>
      <c r="G426" s="2168"/>
      <c r="H426" s="2168"/>
      <c r="I426" s="2168"/>
      <c r="J426" s="2121"/>
    </row>
    <row r="427" spans="6:10">
      <c r="F427" s="2168"/>
      <c r="G427" s="2168"/>
      <c r="H427" s="2168"/>
      <c r="I427" s="2168"/>
      <c r="J427" s="2121"/>
    </row>
    <row r="428" spans="6:10">
      <c r="F428" s="2168"/>
      <c r="G428" s="2168"/>
      <c r="H428" s="2168"/>
      <c r="I428" s="2168"/>
      <c r="J428" s="2121"/>
    </row>
    <row r="429" spans="6:10">
      <c r="F429" s="2168"/>
      <c r="G429" s="2168"/>
      <c r="H429" s="2168"/>
      <c r="I429" s="2168"/>
      <c r="J429" s="2121"/>
    </row>
    <row r="430" spans="6:10">
      <c r="F430" s="2168"/>
      <c r="G430" s="2168"/>
      <c r="H430" s="2168"/>
      <c r="I430" s="2168"/>
      <c r="J430" s="2121"/>
    </row>
    <row r="431" spans="6:10">
      <c r="F431" s="2168"/>
      <c r="G431" s="2168"/>
      <c r="H431" s="2168"/>
      <c r="I431" s="2168"/>
      <c r="J431" s="2121"/>
    </row>
    <row r="432" spans="6:10">
      <c r="F432" s="2168"/>
      <c r="G432" s="2168"/>
      <c r="H432" s="2168"/>
      <c r="I432" s="2168"/>
      <c r="J432" s="2121"/>
    </row>
    <row r="433" spans="6:10">
      <c r="F433" s="2168"/>
      <c r="G433" s="2168"/>
      <c r="H433" s="2168"/>
      <c r="I433" s="2168"/>
      <c r="J433" s="2121"/>
    </row>
    <row r="434" spans="6:10">
      <c r="F434" s="2168"/>
      <c r="G434" s="2168"/>
      <c r="H434" s="2168"/>
      <c r="I434" s="2168"/>
      <c r="J434" s="2121"/>
    </row>
    <row r="435" spans="6:10">
      <c r="F435" s="2168"/>
      <c r="G435" s="2168"/>
      <c r="H435" s="2168"/>
      <c r="I435" s="2168"/>
      <c r="J435" s="2121"/>
    </row>
    <row r="436" spans="6:10">
      <c r="F436" s="2168"/>
      <c r="G436" s="2168"/>
      <c r="H436" s="2168"/>
      <c r="I436" s="2168"/>
      <c r="J436" s="2121"/>
    </row>
    <row r="437" spans="6:10">
      <c r="F437" s="2168"/>
      <c r="G437" s="2168"/>
      <c r="H437" s="2168"/>
      <c r="I437" s="2168"/>
      <c r="J437" s="2121"/>
    </row>
    <row r="438" spans="6:10">
      <c r="F438" s="2168"/>
      <c r="G438" s="2168"/>
      <c r="H438" s="2168"/>
      <c r="I438" s="2168"/>
      <c r="J438" s="2121"/>
    </row>
    <row r="439" spans="6:10">
      <c r="F439" s="2168"/>
      <c r="G439" s="2168"/>
      <c r="H439" s="2168"/>
      <c r="I439" s="2168"/>
      <c r="J439" s="2121"/>
    </row>
    <row r="440" spans="6:10">
      <c r="F440" s="2168"/>
      <c r="G440" s="2168"/>
      <c r="H440" s="2168"/>
      <c r="I440" s="2168"/>
      <c r="J440" s="2121"/>
    </row>
    <row r="441" spans="6:10">
      <c r="F441" s="2168"/>
      <c r="G441" s="2168"/>
      <c r="H441" s="2168"/>
      <c r="I441" s="2168"/>
      <c r="J441" s="2121"/>
    </row>
    <row r="442" spans="6:10">
      <c r="F442" s="2168"/>
      <c r="G442" s="2168"/>
      <c r="H442" s="2168"/>
      <c r="I442" s="2168"/>
      <c r="J442" s="2121"/>
    </row>
    <row r="443" spans="6:10">
      <c r="F443" s="2168"/>
      <c r="G443" s="2168"/>
      <c r="H443" s="2168"/>
      <c r="I443" s="2168"/>
      <c r="J443" s="2121"/>
    </row>
    <row r="444" spans="6:10">
      <c r="F444" s="2168"/>
      <c r="G444" s="2168"/>
      <c r="H444" s="2168"/>
      <c r="I444" s="2168"/>
      <c r="J444" s="2121"/>
    </row>
    <row r="445" spans="6:10">
      <c r="F445" s="2168"/>
      <c r="G445" s="2168"/>
      <c r="H445" s="2168"/>
      <c r="I445" s="2168"/>
      <c r="J445" s="2121"/>
    </row>
    <row r="446" spans="6:10">
      <c r="F446" s="2168"/>
      <c r="G446" s="2168"/>
      <c r="H446" s="2168"/>
      <c r="I446" s="2168"/>
      <c r="J446" s="2121"/>
    </row>
    <row r="447" spans="6:10">
      <c r="F447" s="2168"/>
      <c r="G447" s="2168"/>
      <c r="H447" s="2168"/>
      <c r="I447" s="2168"/>
      <c r="J447" s="2121"/>
    </row>
    <row r="448" spans="6:10">
      <c r="F448" s="2168"/>
      <c r="G448" s="2168"/>
      <c r="H448" s="2168"/>
      <c r="I448" s="2168"/>
      <c r="J448" s="2121"/>
    </row>
    <row r="449" spans="6:10">
      <c r="F449" s="2168"/>
      <c r="G449" s="2168"/>
      <c r="H449" s="2168"/>
      <c r="I449" s="2168"/>
      <c r="J449" s="2121"/>
    </row>
    <row r="450" spans="6:10">
      <c r="F450" s="2168"/>
      <c r="G450" s="2168"/>
      <c r="H450" s="2168"/>
      <c r="I450" s="2168"/>
      <c r="J450" s="2121"/>
    </row>
    <row r="451" spans="6:10">
      <c r="F451" s="2168"/>
      <c r="G451" s="2168"/>
      <c r="H451" s="2168"/>
      <c r="I451" s="2168"/>
      <c r="J451" s="2121"/>
    </row>
    <row r="452" spans="6:10">
      <c r="F452" s="2168"/>
      <c r="G452" s="2168"/>
      <c r="H452" s="2168"/>
      <c r="I452" s="2168"/>
      <c r="J452" s="2121"/>
    </row>
    <row r="453" spans="6:10">
      <c r="F453" s="2168"/>
      <c r="G453" s="2168"/>
      <c r="H453" s="2168"/>
      <c r="I453" s="2168"/>
      <c r="J453" s="2121"/>
    </row>
    <row r="454" spans="6:10">
      <c r="F454" s="2168"/>
      <c r="G454" s="2168"/>
      <c r="H454" s="2168"/>
      <c r="I454" s="2168"/>
      <c r="J454" s="2121"/>
    </row>
    <row r="455" spans="6:10">
      <c r="F455" s="2168"/>
      <c r="G455" s="2168"/>
      <c r="H455" s="2168"/>
      <c r="I455" s="2168"/>
      <c r="J455" s="2121"/>
    </row>
    <row r="456" spans="6:10">
      <c r="F456" s="2168"/>
      <c r="G456" s="2168"/>
      <c r="H456" s="2168"/>
      <c r="I456" s="2168"/>
      <c r="J456" s="2121"/>
    </row>
    <row r="457" spans="6:10">
      <c r="F457" s="2168"/>
      <c r="G457" s="2168"/>
      <c r="H457" s="2168"/>
      <c r="I457" s="2168"/>
      <c r="J457" s="2121"/>
    </row>
    <row r="458" spans="6:10">
      <c r="F458" s="2168"/>
      <c r="G458" s="2168"/>
      <c r="H458" s="2168"/>
      <c r="I458" s="2168"/>
      <c r="J458" s="2121"/>
    </row>
    <row r="459" spans="6:10">
      <c r="F459" s="2168"/>
      <c r="G459" s="2168"/>
      <c r="H459" s="2168"/>
      <c r="I459" s="2168"/>
      <c r="J459" s="2121"/>
    </row>
    <row r="460" spans="6:10">
      <c r="F460" s="2168"/>
      <c r="G460" s="2168"/>
      <c r="H460" s="2168"/>
      <c r="I460" s="2168"/>
      <c r="J460" s="2121"/>
    </row>
    <row r="461" spans="6:10">
      <c r="F461" s="2168"/>
      <c r="G461" s="2168"/>
      <c r="H461" s="2168"/>
      <c r="I461" s="2168"/>
      <c r="J461" s="2121"/>
    </row>
    <row r="462" spans="6:10">
      <c r="F462" s="2168"/>
      <c r="G462" s="2168"/>
      <c r="H462" s="2168"/>
      <c r="I462" s="2168"/>
      <c r="J462" s="2121"/>
    </row>
    <row r="463" spans="6:10">
      <c r="F463" s="2168"/>
      <c r="G463" s="2168"/>
      <c r="H463" s="2168"/>
      <c r="I463" s="2168"/>
      <c r="J463" s="2121"/>
    </row>
    <row r="464" spans="6:10">
      <c r="F464" s="2168"/>
      <c r="G464" s="2168"/>
      <c r="H464" s="2168"/>
      <c r="I464" s="2168"/>
      <c r="J464" s="2121"/>
    </row>
    <row r="465" spans="6:10">
      <c r="F465" s="2168"/>
      <c r="G465" s="2168"/>
      <c r="H465" s="2168"/>
      <c r="I465" s="2168"/>
      <c r="J465" s="2121"/>
    </row>
    <row r="466" spans="6:10">
      <c r="F466" s="2168"/>
      <c r="G466" s="2168"/>
      <c r="H466" s="2168"/>
      <c r="I466" s="2168"/>
      <c r="J466" s="2121"/>
    </row>
    <row r="467" spans="6:10">
      <c r="F467" s="2168"/>
      <c r="G467" s="2168"/>
      <c r="H467" s="2168"/>
      <c r="I467" s="2168"/>
      <c r="J467" s="2121"/>
    </row>
    <row r="468" spans="6:10">
      <c r="F468" s="2168"/>
      <c r="G468" s="2168"/>
      <c r="H468" s="2168"/>
      <c r="I468" s="2168"/>
      <c r="J468" s="2121"/>
    </row>
    <row r="469" spans="6:10">
      <c r="F469" s="2168"/>
      <c r="G469" s="2168"/>
      <c r="H469" s="2168"/>
      <c r="I469" s="2168"/>
      <c r="J469" s="2121"/>
    </row>
    <row r="470" spans="6:10">
      <c r="F470" s="2168"/>
      <c r="G470" s="2168"/>
      <c r="H470" s="2168"/>
      <c r="I470" s="2168"/>
      <c r="J470" s="2121"/>
    </row>
    <row r="471" spans="6:10">
      <c r="F471" s="2168"/>
      <c r="G471" s="2168"/>
      <c r="H471" s="2168"/>
      <c r="I471" s="2168"/>
      <c r="J471" s="2121"/>
    </row>
    <row r="472" spans="6:10">
      <c r="F472" s="2168"/>
      <c r="G472" s="2168"/>
      <c r="H472" s="2168"/>
      <c r="I472" s="2168"/>
      <c r="J472" s="2121"/>
    </row>
    <row r="473" spans="6:10">
      <c r="F473" s="2168"/>
      <c r="G473" s="2168"/>
      <c r="H473" s="2168"/>
      <c r="I473" s="2168"/>
      <c r="J473" s="2121"/>
    </row>
    <row r="474" spans="6:10">
      <c r="F474" s="2168"/>
      <c r="G474" s="2168"/>
      <c r="H474" s="2168"/>
      <c r="I474" s="2168"/>
      <c r="J474" s="2121"/>
    </row>
    <row r="475" spans="6:10">
      <c r="F475" s="2168"/>
      <c r="G475" s="2168"/>
      <c r="H475" s="2168"/>
      <c r="I475" s="2168"/>
      <c r="J475" s="2121"/>
    </row>
    <row r="476" spans="6:10">
      <c r="F476" s="2168"/>
      <c r="G476" s="2168"/>
      <c r="H476" s="2168"/>
      <c r="I476" s="2168"/>
      <c r="J476" s="2121"/>
    </row>
    <row r="477" spans="6:10">
      <c r="F477" s="2168"/>
      <c r="G477" s="2168"/>
      <c r="H477" s="2168"/>
      <c r="I477" s="2168"/>
      <c r="J477" s="2121"/>
    </row>
    <row r="478" spans="6:10">
      <c r="F478" s="2168"/>
      <c r="G478" s="2168"/>
      <c r="H478" s="2168"/>
      <c r="I478" s="2168"/>
      <c r="J478" s="2121"/>
    </row>
    <row r="479" spans="6:10">
      <c r="F479" s="2168"/>
      <c r="G479" s="2168"/>
      <c r="H479" s="2168"/>
      <c r="I479" s="2168"/>
      <c r="J479" s="2121"/>
    </row>
    <row r="480" spans="6:10">
      <c r="F480" s="2168"/>
      <c r="G480" s="2168"/>
      <c r="H480" s="2168"/>
      <c r="I480" s="2168"/>
      <c r="J480" s="2121"/>
    </row>
    <row r="481" spans="6:10">
      <c r="F481" s="2168"/>
      <c r="G481" s="2168"/>
      <c r="H481" s="2168"/>
      <c r="I481" s="2168"/>
      <c r="J481" s="2121"/>
    </row>
    <row r="482" spans="6:10">
      <c r="F482" s="2168"/>
      <c r="G482" s="2168"/>
      <c r="H482" s="2168"/>
      <c r="I482" s="2168"/>
      <c r="J482" s="2121"/>
    </row>
    <row r="483" spans="6:10">
      <c r="F483" s="2168"/>
      <c r="G483" s="2168"/>
      <c r="H483" s="2168"/>
      <c r="I483" s="2168"/>
      <c r="J483" s="2121"/>
    </row>
    <row r="484" spans="6:10">
      <c r="F484" s="2168"/>
      <c r="G484" s="2168"/>
      <c r="H484" s="2168"/>
      <c r="I484" s="2168"/>
      <c r="J484" s="2121"/>
    </row>
    <row r="485" spans="6:10">
      <c r="F485" s="2168"/>
      <c r="G485" s="2168"/>
      <c r="H485" s="2168"/>
      <c r="I485" s="2168"/>
      <c r="J485" s="2121"/>
    </row>
    <row r="486" spans="6:10">
      <c r="F486" s="2168"/>
      <c r="G486" s="2168"/>
      <c r="H486" s="2168"/>
      <c r="I486" s="2168"/>
      <c r="J486" s="2121"/>
    </row>
    <row r="487" spans="6:10">
      <c r="F487" s="2168"/>
      <c r="G487" s="2168"/>
      <c r="H487" s="2168"/>
      <c r="I487" s="2168"/>
      <c r="J487" s="2121"/>
    </row>
    <row r="488" spans="6:10">
      <c r="F488" s="2168"/>
      <c r="G488" s="2168"/>
      <c r="H488" s="2168"/>
      <c r="I488" s="2168"/>
      <c r="J488" s="2121"/>
    </row>
    <row r="489" spans="6:10">
      <c r="F489" s="2168"/>
      <c r="G489" s="2168"/>
      <c r="H489" s="2168"/>
      <c r="I489" s="2168"/>
      <c r="J489" s="2121"/>
    </row>
    <row r="490" spans="6:10">
      <c r="F490" s="2168"/>
      <c r="G490" s="2168"/>
      <c r="H490" s="2168"/>
      <c r="I490" s="2168"/>
      <c r="J490" s="2121"/>
    </row>
    <row r="491" spans="6:10">
      <c r="F491" s="2168"/>
      <c r="G491" s="2168"/>
      <c r="H491" s="2168"/>
      <c r="I491" s="2168"/>
      <c r="J491" s="2121"/>
    </row>
    <row r="492" spans="6:10">
      <c r="F492" s="2168"/>
      <c r="G492" s="2168"/>
      <c r="H492" s="2168"/>
      <c r="I492" s="2168"/>
      <c r="J492" s="2121"/>
    </row>
    <row r="493" spans="6:10">
      <c r="F493" s="2168"/>
      <c r="G493" s="2168"/>
      <c r="H493" s="2168"/>
      <c r="I493" s="2168"/>
      <c r="J493" s="2121"/>
    </row>
    <row r="494" spans="6:10">
      <c r="F494" s="2168"/>
      <c r="G494" s="2168"/>
      <c r="H494" s="2168"/>
      <c r="I494" s="2168"/>
      <c r="J494" s="2121"/>
    </row>
    <row r="495" spans="6:10">
      <c r="F495" s="2168"/>
      <c r="G495" s="2168"/>
      <c r="H495" s="2168"/>
      <c r="I495" s="2168"/>
      <c r="J495" s="2121"/>
    </row>
    <row r="496" spans="6:10">
      <c r="F496" s="2168"/>
      <c r="G496" s="2168"/>
      <c r="H496" s="2168"/>
      <c r="I496" s="2168"/>
      <c r="J496" s="2121"/>
    </row>
    <row r="497" spans="6:10">
      <c r="F497" s="2168"/>
      <c r="G497" s="2168"/>
      <c r="H497" s="2168"/>
      <c r="I497" s="2168"/>
      <c r="J497" s="2121"/>
    </row>
    <row r="498" spans="6:10">
      <c r="F498" s="2168"/>
      <c r="G498" s="2168"/>
      <c r="H498" s="2168"/>
      <c r="I498" s="2168"/>
      <c r="J498" s="2121"/>
    </row>
    <row r="499" spans="6:10">
      <c r="F499" s="2168"/>
      <c r="G499" s="2168"/>
      <c r="H499" s="2168"/>
      <c r="I499" s="2168"/>
      <c r="J499" s="2121"/>
    </row>
    <row r="500" spans="6:10">
      <c r="F500" s="2168"/>
      <c r="G500" s="2168"/>
      <c r="H500" s="2168"/>
      <c r="I500" s="2168"/>
      <c r="J500" s="2121"/>
    </row>
    <row r="501" spans="6:10">
      <c r="F501" s="2168"/>
      <c r="G501" s="2168"/>
      <c r="H501" s="2168"/>
      <c r="I501" s="2168"/>
      <c r="J501" s="2121"/>
    </row>
    <row r="502" spans="6:10">
      <c r="F502" s="2168"/>
      <c r="G502" s="2168"/>
      <c r="H502" s="2168"/>
      <c r="I502" s="2168"/>
      <c r="J502" s="2121"/>
    </row>
    <row r="503" spans="6:10">
      <c r="F503" s="2168"/>
      <c r="G503" s="2168"/>
      <c r="H503" s="2168"/>
      <c r="I503" s="2168"/>
      <c r="J503" s="2121"/>
    </row>
    <row r="504" spans="6:10">
      <c r="F504" s="2168"/>
      <c r="G504" s="2168"/>
      <c r="H504" s="2168"/>
      <c r="I504" s="2168"/>
      <c r="J504" s="2121"/>
    </row>
    <row r="505" spans="6:10">
      <c r="F505" s="2168"/>
      <c r="G505" s="2168"/>
      <c r="H505" s="2168"/>
      <c r="I505" s="2168"/>
      <c r="J505" s="2121"/>
    </row>
    <row r="506" spans="6:10">
      <c r="F506" s="2168"/>
      <c r="G506" s="2168"/>
      <c r="H506" s="2168"/>
      <c r="I506" s="2168"/>
      <c r="J506" s="2121"/>
    </row>
    <row r="507" spans="6:10">
      <c r="F507" s="2168"/>
      <c r="G507" s="2168"/>
      <c r="H507" s="2168"/>
      <c r="I507" s="2168"/>
      <c r="J507" s="2121"/>
    </row>
    <row r="508" spans="6:10">
      <c r="F508" s="2168"/>
      <c r="G508" s="2168"/>
      <c r="H508" s="2168"/>
      <c r="I508" s="2168"/>
      <c r="J508" s="2121"/>
    </row>
    <row r="509" spans="6:10">
      <c r="F509" s="2168"/>
      <c r="G509" s="2168"/>
      <c r="H509" s="2168"/>
      <c r="I509" s="2168"/>
      <c r="J509" s="2121"/>
    </row>
    <row r="510" spans="6:10">
      <c r="F510" s="2168"/>
      <c r="G510" s="2168"/>
      <c r="H510" s="2168"/>
      <c r="I510" s="2168"/>
      <c r="J510" s="2121"/>
    </row>
    <row r="511" spans="6:10">
      <c r="F511" s="2168"/>
      <c r="G511" s="2168"/>
      <c r="H511" s="2168"/>
      <c r="I511" s="2168"/>
      <c r="J511" s="2121"/>
    </row>
    <row r="512" spans="6:10">
      <c r="F512" s="2168"/>
      <c r="G512" s="2168"/>
      <c r="H512" s="2168"/>
      <c r="I512" s="2168"/>
      <c r="J512" s="2121"/>
    </row>
    <row r="513" spans="6:10">
      <c r="F513" s="2168"/>
      <c r="G513" s="2168"/>
      <c r="H513" s="2168"/>
      <c r="I513" s="2168"/>
      <c r="J513" s="2121"/>
    </row>
    <row r="514" spans="6:10">
      <c r="F514" s="2168"/>
      <c r="G514" s="2168"/>
      <c r="H514" s="2168"/>
      <c r="I514" s="2168"/>
      <c r="J514" s="2121"/>
    </row>
    <row r="515" spans="6:10">
      <c r="F515" s="2168"/>
      <c r="G515" s="2168"/>
      <c r="H515" s="2168"/>
      <c r="I515" s="2168"/>
      <c r="J515" s="2121"/>
    </row>
    <row r="516" spans="6:10">
      <c r="F516" s="2168"/>
      <c r="G516" s="2168"/>
      <c r="H516" s="2168"/>
      <c r="I516" s="2168"/>
      <c r="J516" s="2121"/>
    </row>
    <row r="517" spans="6:10">
      <c r="F517" s="2168"/>
      <c r="G517" s="2168"/>
      <c r="H517" s="2168"/>
      <c r="I517" s="2168"/>
      <c r="J517" s="2121"/>
    </row>
    <row r="518" spans="6:10">
      <c r="F518" s="2168"/>
      <c r="G518" s="2168"/>
      <c r="H518" s="2168"/>
      <c r="I518" s="2168"/>
      <c r="J518" s="2121"/>
    </row>
    <row r="519" spans="6:10">
      <c r="F519" s="2168"/>
      <c r="G519" s="2168"/>
      <c r="H519" s="2168"/>
      <c r="I519" s="2168"/>
      <c r="J519" s="2121"/>
    </row>
    <row r="520" spans="6:10">
      <c r="F520" s="2168"/>
      <c r="G520" s="2168"/>
      <c r="H520" s="2168"/>
      <c r="I520" s="2168"/>
      <c r="J520" s="2121"/>
    </row>
    <row r="521" spans="6:10">
      <c r="F521" s="2168"/>
      <c r="G521" s="2168"/>
      <c r="H521" s="2168"/>
      <c r="I521" s="2168"/>
      <c r="J521" s="2121"/>
    </row>
    <row r="522" spans="6:10">
      <c r="F522" s="2168"/>
      <c r="G522" s="2168"/>
      <c r="H522" s="2168"/>
      <c r="I522" s="2168"/>
      <c r="J522" s="2121"/>
    </row>
    <row r="523" spans="6:10">
      <c r="F523" s="2168"/>
      <c r="G523" s="2168"/>
      <c r="H523" s="2168"/>
      <c r="I523" s="2168"/>
      <c r="J523" s="2121"/>
    </row>
    <row r="524" spans="6:10">
      <c r="F524" s="2168"/>
      <c r="G524" s="2168"/>
      <c r="H524" s="2168"/>
      <c r="I524" s="2168"/>
      <c r="J524" s="2121"/>
    </row>
    <row r="525" spans="6:10">
      <c r="F525" s="2168"/>
      <c r="G525" s="2168"/>
      <c r="H525" s="2168"/>
      <c r="I525" s="2168"/>
      <c r="J525" s="2121"/>
    </row>
    <row r="526" spans="6:10">
      <c r="F526" s="2168"/>
      <c r="G526" s="2168"/>
      <c r="H526" s="2168"/>
      <c r="I526" s="2168"/>
      <c r="J526" s="2121"/>
    </row>
    <row r="527" spans="6:10">
      <c r="F527" s="2168"/>
      <c r="G527" s="2168"/>
      <c r="H527" s="2168"/>
      <c r="I527" s="2168"/>
      <c r="J527" s="2121"/>
    </row>
    <row r="528" spans="6:10">
      <c r="F528" s="2168"/>
      <c r="G528" s="2168"/>
      <c r="H528" s="2168"/>
      <c r="I528" s="2168"/>
      <c r="J528" s="2121"/>
    </row>
    <row r="529" spans="6:10">
      <c r="F529" s="2168"/>
      <c r="G529" s="2168"/>
      <c r="H529" s="2168"/>
      <c r="I529" s="2168"/>
      <c r="J529" s="2121"/>
    </row>
    <row r="530" spans="6:10">
      <c r="F530" s="2168"/>
      <c r="G530" s="2168"/>
      <c r="H530" s="2168"/>
      <c r="I530" s="2168"/>
      <c r="J530" s="2121"/>
    </row>
    <row r="531" spans="6:10">
      <c r="F531" s="2168"/>
      <c r="G531" s="2168"/>
      <c r="H531" s="2168"/>
      <c r="I531" s="2168"/>
      <c r="J531" s="2121"/>
    </row>
    <row r="532" spans="6:10">
      <c r="F532" s="2168"/>
      <c r="G532" s="2168"/>
      <c r="H532" s="2168"/>
      <c r="I532" s="2168"/>
      <c r="J532" s="2121"/>
    </row>
    <row r="533" spans="6:10">
      <c r="F533" s="2168"/>
      <c r="G533" s="2168"/>
      <c r="H533" s="2168"/>
      <c r="I533" s="2168"/>
      <c r="J533" s="2121"/>
    </row>
    <row r="534" spans="6:10">
      <c r="F534" s="2168"/>
      <c r="G534" s="2168"/>
      <c r="H534" s="2168"/>
      <c r="I534" s="2168"/>
      <c r="J534" s="2121"/>
    </row>
    <row r="535" spans="6:10">
      <c r="F535" s="2168"/>
      <c r="G535" s="2168"/>
      <c r="H535" s="2168"/>
      <c r="I535" s="2168"/>
      <c r="J535" s="2121"/>
    </row>
    <row r="536" spans="6:10">
      <c r="F536" s="2168"/>
      <c r="G536" s="2168"/>
      <c r="H536" s="2168"/>
      <c r="I536" s="2168"/>
      <c r="J536" s="2121"/>
    </row>
    <row r="537" spans="6:10">
      <c r="F537" s="2168"/>
      <c r="G537" s="2168"/>
      <c r="H537" s="2168"/>
      <c r="I537" s="2168"/>
      <c r="J537" s="2121"/>
    </row>
    <row r="538" spans="6:10">
      <c r="F538" s="2168"/>
      <c r="G538" s="2168"/>
      <c r="H538" s="2168"/>
      <c r="I538" s="2168"/>
      <c r="J538" s="2121"/>
    </row>
    <row r="539" spans="6:10">
      <c r="F539" s="2168"/>
      <c r="G539" s="2168"/>
      <c r="H539" s="2168"/>
      <c r="I539" s="2168"/>
      <c r="J539" s="2121"/>
    </row>
    <row r="540" spans="6:10">
      <c r="F540" s="2168"/>
      <c r="G540" s="2168"/>
      <c r="H540" s="2168"/>
      <c r="I540" s="2168"/>
      <c r="J540" s="2121"/>
    </row>
    <row r="541" spans="6:10">
      <c r="F541" s="2168"/>
      <c r="G541" s="2168"/>
      <c r="H541" s="2168"/>
      <c r="I541" s="2168"/>
      <c r="J541" s="2121"/>
    </row>
    <row r="542" spans="6:10">
      <c r="F542" s="2168"/>
      <c r="G542" s="2168"/>
      <c r="H542" s="2168"/>
      <c r="I542" s="2168"/>
      <c r="J542" s="2121"/>
    </row>
    <row r="543" spans="6:10">
      <c r="F543" s="2168"/>
      <c r="G543" s="2168"/>
      <c r="H543" s="2168"/>
      <c r="I543" s="2168"/>
      <c r="J543" s="2121"/>
    </row>
    <row r="544" spans="6:10">
      <c r="F544" s="2168"/>
      <c r="G544" s="2168"/>
      <c r="H544" s="2168"/>
      <c r="I544" s="2168"/>
      <c r="J544" s="2121"/>
    </row>
    <row r="545" spans="6:10">
      <c r="F545" s="2168"/>
      <c r="G545" s="2168"/>
      <c r="H545" s="2168"/>
      <c r="I545" s="2168"/>
      <c r="J545" s="2121"/>
    </row>
    <row r="546" spans="6:10">
      <c r="F546" s="2168"/>
      <c r="G546" s="2168"/>
      <c r="H546" s="2168"/>
      <c r="I546" s="2168"/>
      <c r="J546" s="2121"/>
    </row>
    <row r="547" spans="6:10">
      <c r="F547" s="2168"/>
      <c r="G547" s="2168"/>
      <c r="H547" s="2168"/>
      <c r="I547" s="2168"/>
      <c r="J547" s="2121"/>
    </row>
    <row r="548" spans="6:10">
      <c r="F548" s="2168"/>
      <c r="G548" s="2168"/>
      <c r="H548" s="2168"/>
      <c r="I548" s="2168"/>
      <c r="J548" s="2121"/>
    </row>
    <row r="549" spans="6:10">
      <c r="F549" s="2168"/>
      <c r="G549" s="2168"/>
      <c r="H549" s="2168"/>
      <c r="I549" s="2168"/>
      <c r="J549" s="2121"/>
    </row>
    <row r="550" spans="6:10">
      <c r="F550" s="2168"/>
      <c r="G550" s="2168"/>
      <c r="H550" s="2168"/>
      <c r="I550" s="2168"/>
      <c r="J550" s="2121"/>
    </row>
    <row r="551" spans="6:10">
      <c r="F551" s="2168"/>
      <c r="G551" s="2168"/>
      <c r="H551" s="2168"/>
      <c r="I551" s="2168"/>
      <c r="J551" s="2121"/>
    </row>
    <row r="552" spans="6:10">
      <c r="F552" s="2168"/>
      <c r="G552" s="2168"/>
      <c r="H552" s="2168"/>
      <c r="I552" s="2168"/>
      <c r="J552" s="2121"/>
    </row>
    <row r="553" spans="6:10">
      <c r="F553" s="2168"/>
      <c r="G553" s="2168"/>
      <c r="H553" s="2168"/>
      <c r="I553" s="2168"/>
      <c r="J553" s="2121"/>
    </row>
    <row r="554" spans="6:10">
      <c r="F554" s="2168"/>
      <c r="G554" s="2168"/>
      <c r="H554" s="2168"/>
      <c r="I554" s="2168"/>
      <c r="J554" s="2121"/>
    </row>
    <row r="555" spans="6:10">
      <c r="F555" s="2168"/>
      <c r="G555" s="2168"/>
      <c r="H555" s="2168"/>
      <c r="I555" s="2168"/>
      <c r="J555" s="2121"/>
    </row>
    <row r="556" spans="6:10">
      <c r="F556" s="2168"/>
      <c r="G556" s="2168"/>
      <c r="H556" s="2168"/>
      <c r="I556" s="2168"/>
      <c r="J556" s="2121"/>
    </row>
    <row r="557" spans="6:10">
      <c r="F557" s="2168"/>
      <c r="G557" s="2168"/>
      <c r="H557" s="2168"/>
      <c r="I557" s="2168"/>
      <c r="J557" s="2121"/>
    </row>
    <row r="558" spans="6:10">
      <c r="F558" s="2168"/>
      <c r="G558" s="2168"/>
      <c r="H558" s="2168"/>
      <c r="I558" s="2168"/>
      <c r="J558" s="2121"/>
    </row>
    <row r="559" spans="6:10">
      <c r="F559" s="2168"/>
      <c r="G559" s="2168"/>
      <c r="H559" s="2168"/>
      <c r="I559" s="2168"/>
      <c r="J559" s="2121"/>
    </row>
    <row r="560" spans="6:10">
      <c r="F560" s="2168"/>
      <c r="G560" s="2168"/>
      <c r="H560" s="2168"/>
      <c r="I560" s="2168"/>
      <c r="J560" s="2121"/>
    </row>
    <row r="561" spans="6:10">
      <c r="F561" s="2168"/>
      <c r="G561" s="2168"/>
      <c r="H561" s="2168"/>
      <c r="I561" s="2168"/>
      <c r="J561" s="2121"/>
    </row>
    <row r="562" spans="6:10">
      <c r="F562" s="2168"/>
      <c r="G562" s="2168"/>
      <c r="H562" s="2168"/>
      <c r="I562" s="2168"/>
      <c r="J562" s="2121"/>
    </row>
    <row r="563" spans="6:10">
      <c r="F563" s="2168"/>
      <c r="G563" s="2168"/>
      <c r="H563" s="2168"/>
      <c r="I563" s="2168"/>
      <c r="J563" s="2121"/>
    </row>
    <row r="564" spans="6:10">
      <c r="F564" s="2168"/>
      <c r="G564" s="2168"/>
      <c r="H564" s="2168"/>
      <c r="I564" s="2168"/>
      <c r="J564" s="2121"/>
    </row>
    <row r="565" spans="6:10">
      <c r="F565" s="2168"/>
      <c r="G565" s="2168"/>
      <c r="H565" s="2168"/>
      <c r="I565" s="2168"/>
      <c r="J565" s="2121"/>
    </row>
    <row r="566" spans="6:10">
      <c r="F566" s="2168"/>
      <c r="G566" s="2168"/>
      <c r="H566" s="2168"/>
      <c r="I566" s="2168"/>
      <c r="J566" s="2121"/>
    </row>
    <row r="567" spans="6:10">
      <c r="F567" s="2168"/>
      <c r="G567" s="2168"/>
      <c r="H567" s="2168"/>
      <c r="I567" s="2168"/>
      <c r="J567" s="2121"/>
    </row>
    <row r="568" spans="6:10">
      <c r="F568" s="2168"/>
      <c r="G568" s="2168"/>
      <c r="H568" s="2168"/>
      <c r="I568" s="2168"/>
      <c r="J568" s="2121"/>
    </row>
    <row r="569" spans="6:10">
      <c r="F569" s="2168"/>
      <c r="G569" s="2168"/>
      <c r="H569" s="2168"/>
      <c r="I569" s="2168"/>
      <c r="J569" s="2121"/>
    </row>
    <row r="570" spans="6:10">
      <c r="F570" s="2168"/>
      <c r="G570" s="2168"/>
      <c r="H570" s="2168"/>
      <c r="I570" s="2168"/>
      <c r="J570" s="2121"/>
    </row>
    <row r="571" spans="6:10">
      <c r="F571" s="2168"/>
      <c r="G571" s="2168"/>
      <c r="H571" s="2168"/>
      <c r="I571" s="2168"/>
      <c r="J571" s="2121"/>
    </row>
    <row r="572" spans="6:10">
      <c r="F572" s="2168"/>
      <c r="G572" s="2168"/>
      <c r="H572" s="2168"/>
      <c r="I572" s="2168"/>
      <c r="J572" s="2121"/>
    </row>
    <row r="573" spans="6:10">
      <c r="F573" s="2168"/>
      <c r="G573" s="2168"/>
      <c r="H573" s="2168"/>
      <c r="I573" s="2168"/>
      <c r="J573" s="2121"/>
    </row>
    <row r="574" spans="6:10">
      <c r="F574" s="2168"/>
      <c r="G574" s="2168"/>
      <c r="H574" s="2168"/>
      <c r="I574" s="2168"/>
      <c r="J574" s="2121"/>
    </row>
    <row r="575" spans="6:10">
      <c r="F575" s="2168"/>
      <c r="G575" s="2168"/>
      <c r="H575" s="2168"/>
      <c r="I575" s="2168"/>
      <c r="J575" s="2121"/>
    </row>
    <row r="576" spans="6:10">
      <c r="F576" s="2168"/>
      <c r="G576" s="2168"/>
      <c r="H576" s="2168"/>
      <c r="I576" s="2168"/>
      <c r="J576" s="2121"/>
    </row>
    <row r="577" spans="6:10">
      <c r="F577" s="2168"/>
      <c r="G577" s="2168"/>
      <c r="H577" s="2168"/>
      <c r="I577" s="2168"/>
      <c r="J577" s="2121"/>
    </row>
    <row r="578" spans="6:10">
      <c r="F578" s="2168"/>
      <c r="G578" s="2168"/>
      <c r="H578" s="2168"/>
      <c r="I578" s="2168"/>
      <c r="J578" s="2121"/>
    </row>
    <row r="579" spans="6:10">
      <c r="F579" s="2168"/>
      <c r="G579" s="2168"/>
      <c r="H579" s="2168"/>
      <c r="I579" s="2168"/>
      <c r="J579" s="2121"/>
    </row>
    <row r="580" spans="6:10">
      <c r="F580" s="2168"/>
      <c r="G580" s="2168"/>
      <c r="H580" s="2168"/>
      <c r="I580" s="2168"/>
      <c r="J580" s="2121"/>
    </row>
    <row r="581" spans="6:10">
      <c r="F581" s="2168"/>
      <c r="G581" s="2168"/>
      <c r="H581" s="2168"/>
      <c r="I581" s="2168"/>
      <c r="J581" s="2121"/>
    </row>
    <row r="582" spans="6:10">
      <c r="F582" s="2168"/>
      <c r="G582" s="2168"/>
      <c r="H582" s="2168"/>
      <c r="I582" s="2168"/>
      <c r="J582" s="2121"/>
    </row>
    <row r="583" spans="6:10">
      <c r="F583" s="2168"/>
      <c r="G583" s="2168"/>
      <c r="H583" s="2168"/>
      <c r="I583" s="2168"/>
      <c r="J583" s="2121"/>
    </row>
    <row r="584" spans="6:10">
      <c r="F584" s="2168"/>
      <c r="G584" s="2168"/>
      <c r="H584" s="2168"/>
      <c r="I584" s="2168"/>
      <c r="J584" s="2121"/>
    </row>
    <row r="585" spans="6:10">
      <c r="F585" s="2168"/>
      <c r="G585" s="2168"/>
      <c r="H585" s="2168"/>
      <c r="I585" s="2168"/>
      <c r="J585" s="2121"/>
    </row>
    <row r="586" spans="6:10">
      <c r="F586" s="2168"/>
      <c r="G586" s="2168"/>
      <c r="H586" s="2168"/>
      <c r="I586" s="2168"/>
      <c r="J586" s="2121"/>
    </row>
    <row r="587" spans="6:10">
      <c r="F587" s="2168"/>
      <c r="G587" s="2168"/>
      <c r="H587" s="2168"/>
      <c r="I587" s="2168"/>
      <c r="J587" s="2121"/>
    </row>
    <row r="588" spans="6:10">
      <c r="F588" s="2168"/>
      <c r="G588" s="2168"/>
      <c r="H588" s="2168"/>
      <c r="I588" s="2168"/>
      <c r="J588" s="2121"/>
    </row>
    <row r="589" spans="6:10">
      <c r="F589" s="2168"/>
      <c r="G589" s="2168"/>
      <c r="H589" s="2168"/>
      <c r="I589" s="2168"/>
      <c r="J589" s="2121"/>
    </row>
    <row r="590" spans="6:10">
      <c r="F590" s="2168"/>
      <c r="G590" s="2168"/>
      <c r="H590" s="2168"/>
      <c r="I590" s="2168"/>
      <c r="J590" s="2121"/>
    </row>
    <row r="591" spans="6:10">
      <c r="F591" s="2168"/>
      <c r="G591" s="2168"/>
      <c r="H591" s="2168"/>
      <c r="I591" s="2168"/>
      <c r="J591" s="2121"/>
    </row>
    <row r="592" spans="6:10">
      <c r="F592" s="2168"/>
      <c r="G592" s="2168"/>
      <c r="H592" s="2168"/>
      <c r="I592" s="2168"/>
      <c r="J592" s="2121"/>
    </row>
    <row r="593" spans="6:10">
      <c r="F593" s="2168"/>
      <c r="G593" s="2168"/>
      <c r="H593" s="2168"/>
      <c r="I593" s="2168"/>
      <c r="J593" s="2121"/>
    </row>
    <row r="594" spans="6:10">
      <c r="F594" s="2168"/>
      <c r="G594" s="2168"/>
      <c r="H594" s="2168"/>
      <c r="I594" s="2168"/>
      <c r="J594" s="2121"/>
    </row>
    <row r="595" spans="6:10">
      <c r="F595" s="2168"/>
      <c r="G595" s="2168"/>
      <c r="H595" s="2168"/>
      <c r="I595" s="2168"/>
      <c r="J595" s="2121"/>
    </row>
    <row r="596" spans="6:10">
      <c r="F596" s="2168"/>
      <c r="G596" s="2168"/>
      <c r="H596" s="2168"/>
      <c r="I596" s="2168"/>
      <c r="J596" s="2121"/>
    </row>
    <row r="597" spans="6:10">
      <c r="F597" s="2168"/>
      <c r="G597" s="2168"/>
      <c r="H597" s="2168"/>
      <c r="I597" s="2168"/>
      <c r="J597" s="2121"/>
    </row>
    <row r="598" spans="6:10">
      <c r="F598" s="2168"/>
      <c r="G598" s="2168"/>
      <c r="H598" s="2168"/>
      <c r="I598" s="2168"/>
      <c r="J598" s="2121"/>
    </row>
    <row r="599" spans="6:10">
      <c r="F599" s="2168"/>
      <c r="G599" s="2168"/>
      <c r="H599" s="2168"/>
      <c r="I599" s="2168"/>
      <c r="J599" s="2121"/>
    </row>
    <row r="600" spans="6:10">
      <c r="F600" s="2168"/>
      <c r="G600" s="2168"/>
      <c r="H600" s="2168"/>
      <c r="I600" s="2168"/>
      <c r="J600" s="2121"/>
    </row>
    <row r="601" spans="6:10">
      <c r="F601" s="2168"/>
      <c r="G601" s="2168"/>
      <c r="H601" s="2168"/>
      <c r="I601" s="2168"/>
      <c r="J601" s="2121"/>
    </row>
    <row r="602" spans="6:10">
      <c r="F602" s="2168"/>
      <c r="G602" s="2168"/>
      <c r="H602" s="2168"/>
      <c r="I602" s="2168"/>
      <c r="J602" s="2121"/>
    </row>
    <row r="603" spans="6:10">
      <c r="F603" s="2168"/>
      <c r="G603" s="2168"/>
      <c r="H603" s="2168"/>
      <c r="I603" s="2168"/>
      <c r="J603" s="2121"/>
    </row>
    <row r="604" spans="6:10">
      <c r="F604" s="2168"/>
      <c r="G604" s="2168"/>
      <c r="H604" s="2168"/>
      <c r="I604" s="2168"/>
      <c r="J604" s="2121"/>
    </row>
    <row r="605" spans="6:10">
      <c r="F605" s="2168"/>
      <c r="G605" s="2168"/>
      <c r="H605" s="2168"/>
      <c r="I605" s="2168"/>
      <c r="J605" s="2121"/>
    </row>
    <row r="606" spans="6:10">
      <c r="F606" s="2168"/>
      <c r="G606" s="2168"/>
      <c r="H606" s="2168"/>
      <c r="I606" s="2168"/>
      <c r="J606" s="2121"/>
    </row>
    <row r="607" spans="6:10">
      <c r="F607" s="2168"/>
      <c r="G607" s="2168"/>
      <c r="H607" s="2168"/>
      <c r="I607" s="2168"/>
      <c r="J607" s="2121"/>
    </row>
    <row r="608" spans="6:10">
      <c r="F608" s="2168"/>
      <c r="G608" s="2168"/>
      <c r="H608" s="2168"/>
      <c r="I608" s="2168"/>
      <c r="J608" s="2121"/>
    </row>
    <row r="609" spans="6:10">
      <c r="F609" s="2168"/>
      <c r="G609" s="2168"/>
      <c r="H609" s="2168"/>
      <c r="I609" s="2168"/>
      <c r="J609" s="2121"/>
    </row>
    <row r="610" spans="6:10">
      <c r="F610" s="2168"/>
      <c r="G610" s="2168"/>
      <c r="H610" s="2168"/>
      <c r="I610" s="2168"/>
      <c r="J610" s="2121"/>
    </row>
    <row r="611" spans="6:10">
      <c r="F611" s="2168"/>
      <c r="G611" s="2168"/>
      <c r="H611" s="2168"/>
      <c r="I611" s="2168"/>
      <c r="J611" s="2121"/>
    </row>
    <row r="612" spans="6:10">
      <c r="F612" s="2168"/>
      <c r="G612" s="2168"/>
      <c r="H612" s="2168"/>
      <c r="I612" s="2168"/>
      <c r="J612" s="2121"/>
    </row>
    <row r="613" spans="6:10">
      <c r="F613" s="2168"/>
      <c r="G613" s="2168"/>
      <c r="H613" s="2168"/>
      <c r="I613" s="2168"/>
      <c r="J613" s="2121"/>
    </row>
    <row r="614" spans="6:10">
      <c r="F614" s="2168"/>
      <c r="G614" s="2168"/>
      <c r="H614" s="2168"/>
      <c r="I614" s="2168"/>
      <c r="J614" s="2121"/>
    </row>
    <row r="615" spans="6:10">
      <c r="F615" s="2168"/>
      <c r="G615" s="2168"/>
      <c r="H615" s="2168"/>
      <c r="I615" s="2168"/>
      <c r="J615" s="2121"/>
    </row>
    <row r="616" spans="6:10">
      <c r="F616" s="2168"/>
      <c r="G616" s="2168"/>
      <c r="H616" s="2168"/>
      <c r="I616" s="2168"/>
      <c r="J616" s="2121"/>
    </row>
    <row r="617" spans="6:10">
      <c r="F617" s="2168"/>
      <c r="G617" s="2168"/>
      <c r="H617" s="2168"/>
      <c r="I617" s="2168"/>
      <c r="J617" s="2121"/>
    </row>
    <row r="618" spans="6:10">
      <c r="F618" s="2168"/>
      <c r="G618" s="2168"/>
      <c r="H618" s="2168"/>
      <c r="I618" s="2168"/>
      <c r="J618" s="2121"/>
    </row>
    <row r="619" spans="6:10">
      <c r="F619" s="2168"/>
      <c r="G619" s="2168"/>
      <c r="H619" s="2168"/>
      <c r="I619" s="2168"/>
      <c r="J619" s="2121"/>
    </row>
    <row r="620" spans="6:10">
      <c r="F620" s="2168"/>
      <c r="G620" s="2168"/>
      <c r="H620" s="2168"/>
      <c r="I620" s="2168"/>
      <c r="J620" s="2121"/>
    </row>
    <row r="621" spans="6:10">
      <c r="F621" s="2168"/>
      <c r="G621" s="2168"/>
      <c r="H621" s="2168"/>
      <c r="I621" s="2168"/>
      <c r="J621" s="2121"/>
    </row>
    <row r="622" spans="6:10">
      <c r="F622" s="2168"/>
      <c r="G622" s="2168"/>
      <c r="H622" s="2168"/>
      <c r="I622" s="2168"/>
      <c r="J622" s="2121"/>
    </row>
    <row r="623" spans="6:10">
      <c r="F623" s="2168"/>
      <c r="G623" s="2168"/>
      <c r="H623" s="2168"/>
      <c r="I623" s="2168"/>
      <c r="J623" s="2121"/>
    </row>
    <row r="624" spans="6:10">
      <c r="F624" s="2168"/>
      <c r="G624" s="2168"/>
      <c r="H624" s="2168"/>
      <c r="I624" s="2168"/>
      <c r="J624" s="2121"/>
    </row>
    <row r="625" spans="6:10">
      <c r="F625" s="2168"/>
      <c r="G625" s="2168"/>
      <c r="H625" s="2168"/>
      <c r="I625" s="2168"/>
      <c r="J625" s="2121"/>
    </row>
    <row r="626" spans="6:10">
      <c r="F626" s="2168"/>
      <c r="G626" s="2168"/>
      <c r="H626" s="2168"/>
      <c r="I626" s="2168"/>
      <c r="J626" s="2121"/>
    </row>
    <row r="627" spans="6:10">
      <c r="F627" s="2168"/>
      <c r="G627" s="2168"/>
      <c r="H627" s="2168"/>
      <c r="I627" s="2168"/>
      <c r="J627" s="2121"/>
    </row>
    <row r="628" spans="6:10">
      <c r="F628" s="2168"/>
      <c r="G628" s="2168"/>
      <c r="H628" s="2168"/>
      <c r="I628" s="2168"/>
      <c r="J628" s="2121"/>
    </row>
    <row r="629" spans="6:10">
      <c r="F629" s="2168"/>
      <c r="G629" s="2168"/>
      <c r="H629" s="2168"/>
      <c r="I629" s="2168"/>
      <c r="J629" s="2121"/>
    </row>
    <row r="630" spans="6:10">
      <c r="F630" s="2168"/>
      <c r="G630" s="2168"/>
      <c r="H630" s="2168"/>
      <c r="I630" s="2168"/>
      <c r="J630" s="2121"/>
    </row>
    <row r="631" spans="6:10">
      <c r="F631" s="2168"/>
      <c r="G631" s="2168"/>
      <c r="H631" s="2168"/>
      <c r="I631" s="2168"/>
      <c r="J631" s="2121"/>
    </row>
    <row r="632" spans="6:10">
      <c r="F632" s="2168"/>
      <c r="G632" s="2168"/>
      <c r="H632" s="2168"/>
      <c r="I632" s="2168"/>
      <c r="J632" s="2121"/>
    </row>
    <row r="633" spans="6:10">
      <c r="F633" s="2168"/>
      <c r="G633" s="2168"/>
      <c r="H633" s="2168"/>
      <c r="I633" s="2168"/>
      <c r="J633" s="2121"/>
    </row>
    <row r="634" spans="6:10">
      <c r="F634" s="2168"/>
      <c r="G634" s="2168"/>
      <c r="H634" s="2168"/>
      <c r="I634" s="2168"/>
      <c r="J634" s="2121"/>
    </row>
    <row r="635" spans="6:10">
      <c r="F635" s="2168"/>
      <c r="G635" s="2168"/>
      <c r="H635" s="2168"/>
      <c r="I635" s="2168"/>
      <c r="J635" s="2121"/>
    </row>
    <row r="636" spans="6:10">
      <c r="F636" s="2168"/>
      <c r="G636" s="2168"/>
      <c r="H636" s="2168"/>
      <c r="I636" s="2168"/>
      <c r="J636" s="2121"/>
    </row>
    <row r="637" spans="6:10">
      <c r="F637" s="2168"/>
      <c r="G637" s="2168"/>
      <c r="H637" s="2168"/>
      <c r="I637" s="2168"/>
      <c r="J637" s="2121"/>
    </row>
    <row r="638" spans="6:10">
      <c r="F638" s="2168"/>
      <c r="G638" s="2168"/>
      <c r="H638" s="2168"/>
      <c r="I638" s="2168"/>
      <c r="J638" s="2121"/>
    </row>
    <row r="639" spans="6:10">
      <c r="F639" s="2168"/>
      <c r="G639" s="2168"/>
      <c r="H639" s="2168"/>
      <c r="I639" s="2168"/>
      <c r="J639" s="2121"/>
    </row>
    <row r="640" spans="6:10">
      <c r="F640" s="2168"/>
      <c r="G640" s="2168"/>
      <c r="H640" s="2168"/>
      <c r="I640" s="2168"/>
      <c r="J640" s="2121"/>
    </row>
    <row r="641" spans="6:10">
      <c r="F641" s="2168"/>
      <c r="G641" s="2168"/>
      <c r="H641" s="2168"/>
      <c r="I641" s="2168"/>
      <c r="J641" s="2121"/>
    </row>
    <row r="642" spans="6:10">
      <c r="F642" s="2168"/>
      <c r="G642" s="2168"/>
      <c r="H642" s="2168"/>
      <c r="I642" s="2168"/>
      <c r="J642" s="2121"/>
    </row>
    <row r="643" spans="6:10">
      <c r="F643" s="2168"/>
      <c r="G643" s="2168"/>
      <c r="H643" s="2168"/>
      <c r="I643" s="2168"/>
      <c r="J643" s="2121"/>
    </row>
    <row r="644" spans="6:10">
      <c r="F644" s="2168"/>
      <c r="G644" s="2168"/>
      <c r="H644" s="2168"/>
      <c r="I644" s="2168"/>
      <c r="J644" s="2121"/>
    </row>
    <row r="645" spans="6:10">
      <c r="F645" s="2168"/>
      <c r="G645" s="2168"/>
      <c r="H645" s="2168"/>
      <c r="I645" s="2168"/>
      <c r="J645" s="2121"/>
    </row>
    <row r="646" spans="6:10">
      <c r="F646" s="2168"/>
      <c r="G646" s="2168"/>
      <c r="H646" s="2168"/>
      <c r="I646" s="2168"/>
      <c r="J646" s="2121"/>
    </row>
    <row r="647" spans="6:10">
      <c r="F647" s="2168"/>
      <c r="G647" s="2168"/>
      <c r="H647" s="2168"/>
      <c r="I647" s="2168"/>
      <c r="J647" s="2121"/>
    </row>
    <row r="648" spans="6:10">
      <c r="F648" s="2168"/>
      <c r="G648" s="2168"/>
      <c r="H648" s="2168"/>
      <c r="I648" s="2168"/>
      <c r="J648" s="2121"/>
    </row>
    <row r="649" spans="6:10">
      <c r="F649" s="2168"/>
      <c r="G649" s="2168"/>
      <c r="H649" s="2168"/>
      <c r="I649" s="2168"/>
      <c r="J649" s="2121"/>
    </row>
    <row r="650" spans="6:10">
      <c r="F650" s="2168"/>
      <c r="G650" s="2168"/>
      <c r="H650" s="2168"/>
      <c r="I650" s="2168"/>
      <c r="J650" s="2121"/>
    </row>
    <row r="651" spans="6:10">
      <c r="F651" s="2168"/>
      <c r="G651" s="2168"/>
      <c r="H651" s="2168"/>
      <c r="I651" s="2168"/>
      <c r="J651" s="2121"/>
    </row>
    <row r="652" spans="6:10">
      <c r="F652" s="2168"/>
      <c r="G652" s="2168"/>
      <c r="H652" s="2168"/>
      <c r="I652" s="2168"/>
      <c r="J652" s="2121"/>
    </row>
    <row r="653" spans="6:10">
      <c r="F653" s="2168"/>
      <c r="G653" s="2168"/>
      <c r="H653" s="2168"/>
      <c r="I653" s="2168"/>
      <c r="J653" s="2121"/>
    </row>
    <row r="654" spans="6:10">
      <c r="F654" s="2168"/>
      <c r="G654" s="2168"/>
      <c r="H654" s="2168"/>
      <c r="I654" s="2168"/>
      <c r="J654" s="2121"/>
    </row>
    <row r="655" spans="6:10">
      <c r="F655" s="2168"/>
      <c r="G655" s="2168"/>
      <c r="H655" s="2168"/>
      <c r="I655" s="2168"/>
      <c r="J655" s="2121"/>
    </row>
    <row r="656" spans="6:10">
      <c r="F656" s="2168"/>
      <c r="G656" s="2168"/>
      <c r="H656" s="2168"/>
      <c r="I656" s="2168"/>
      <c r="J656" s="2121"/>
    </row>
    <row r="657" spans="6:10">
      <c r="F657" s="2168"/>
      <c r="G657" s="2168"/>
      <c r="H657" s="2168"/>
      <c r="I657" s="2168"/>
      <c r="J657" s="2121"/>
    </row>
    <row r="658" spans="6:10">
      <c r="F658" s="2168"/>
      <c r="G658" s="2168"/>
      <c r="H658" s="2168"/>
      <c r="I658" s="2168"/>
      <c r="J658" s="2121"/>
    </row>
    <row r="659" spans="6:10">
      <c r="F659" s="2168"/>
      <c r="G659" s="2168"/>
      <c r="H659" s="2168"/>
      <c r="I659" s="2168"/>
      <c r="J659" s="2121"/>
    </row>
    <row r="660" spans="6:10">
      <c r="F660" s="2168"/>
      <c r="G660" s="2168"/>
      <c r="H660" s="2168"/>
      <c r="I660" s="2168"/>
      <c r="J660" s="2121"/>
    </row>
    <row r="661" spans="6:10">
      <c r="F661" s="2168"/>
      <c r="G661" s="2168"/>
      <c r="H661" s="2168"/>
      <c r="I661" s="2168"/>
      <c r="J661" s="2121"/>
    </row>
    <row r="662" spans="6:10">
      <c r="F662" s="2168"/>
      <c r="G662" s="2168"/>
      <c r="H662" s="2168"/>
      <c r="I662" s="2168"/>
      <c r="J662" s="2121"/>
    </row>
    <row r="663" spans="6:10">
      <c r="F663" s="2168"/>
      <c r="G663" s="2168"/>
      <c r="H663" s="2168"/>
      <c r="I663" s="2168"/>
      <c r="J663" s="2121"/>
    </row>
    <row r="664" spans="6:10">
      <c r="F664" s="2168"/>
      <c r="G664" s="2168"/>
      <c r="H664" s="2168"/>
      <c r="I664" s="2168"/>
      <c r="J664" s="2121"/>
    </row>
    <row r="665" spans="6:10">
      <c r="F665" s="2168"/>
      <c r="G665" s="2168"/>
      <c r="H665" s="2168"/>
      <c r="I665" s="2168"/>
      <c r="J665" s="2121"/>
    </row>
    <row r="666" spans="6:10">
      <c r="F666" s="2168"/>
      <c r="G666" s="2168"/>
      <c r="H666" s="2168"/>
      <c r="I666" s="2168"/>
      <c r="J666" s="2121"/>
    </row>
    <row r="667" spans="6:10">
      <c r="F667" s="2168"/>
      <c r="G667" s="2168"/>
      <c r="H667" s="2168"/>
      <c r="I667" s="2168"/>
      <c r="J667" s="2121"/>
    </row>
    <row r="668" spans="6:10">
      <c r="F668" s="2168"/>
      <c r="G668" s="2168"/>
      <c r="H668" s="2168"/>
      <c r="I668" s="2168"/>
      <c r="J668" s="2121"/>
    </row>
    <row r="669" spans="6:10">
      <c r="F669" s="2168"/>
      <c r="G669" s="2168"/>
      <c r="H669" s="2168"/>
      <c r="I669" s="2168"/>
      <c r="J669" s="2121"/>
    </row>
    <row r="670" spans="6:10">
      <c r="F670" s="2168"/>
      <c r="G670" s="2168"/>
      <c r="H670" s="2168"/>
      <c r="I670" s="2168"/>
      <c r="J670" s="2121"/>
    </row>
    <row r="671" spans="6:10">
      <c r="F671" s="2168"/>
      <c r="G671" s="2168"/>
      <c r="H671" s="2168"/>
      <c r="I671" s="2168"/>
      <c r="J671" s="2121"/>
    </row>
    <row r="672" spans="6:10">
      <c r="F672" s="2168"/>
      <c r="G672" s="2168"/>
      <c r="H672" s="2168"/>
      <c r="I672" s="2168"/>
      <c r="J672" s="2121"/>
    </row>
    <row r="673" spans="6:10">
      <c r="F673" s="2168"/>
      <c r="G673" s="2168"/>
      <c r="H673" s="2168"/>
      <c r="I673" s="2168"/>
      <c r="J673" s="2121"/>
    </row>
    <row r="674" spans="6:10">
      <c r="F674" s="2168"/>
      <c r="G674" s="2168"/>
      <c r="H674" s="2168"/>
      <c r="I674" s="2168"/>
      <c r="J674" s="2121"/>
    </row>
    <row r="675" spans="6:10">
      <c r="F675" s="2168"/>
      <c r="G675" s="2168"/>
      <c r="H675" s="2168"/>
      <c r="I675" s="2168"/>
      <c r="J675" s="2121"/>
    </row>
    <row r="676" spans="6:10">
      <c r="F676" s="2168"/>
      <c r="G676" s="2168"/>
      <c r="H676" s="2168"/>
      <c r="I676" s="2168"/>
      <c r="J676" s="2121"/>
    </row>
    <row r="677" spans="6:10">
      <c r="F677" s="2168"/>
      <c r="G677" s="2168"/>
      <c r="H677" s="2168"/>
      <c r="I677" s="2168"/>
      <c r="J677" s="2121"/>
    </row>
    <row r="678" spans="6:10">
      <c r="F678" s="2168"/>
      <c r="G678" s="2168"/>
      <c r="H678" s="2168"/>
      <c r="I678" s="2168"/>
      <c r="J678" s="2121"/>
    </row>
    <row r="679" spans="6:10">
      <c r="F679" s="2168"/>
      <c r="G679" s="2168"/>
      <c r="H679" s="2168"/>
      <c r="I679" s="2168"/>
      <c r="J679" s="2121"/>
    </row>
    <row r="680" spans="6:10">
      <c r="F680" s="2168"/>
      <c r="G680" s="2168"/>
      <c r="H680" s="2168"/>
      <c r="I680" s="2168"/>
      <c r="J680" s="2121"/>
    </row>
    <row r="681" spans="6:10">
      <c r="F681" s="2168"/>
      <c r="G681" s="2168"/>
      <c r="H681" s="2168"/>
      <c r="I681" s="2168"/>
      <c r="J681" s="2121"/>
    </row>
    <row r="682" spans="6:10">
      <c r="F682" s="2168"/>
      <c r="G682" s="2168"/>
      <c r="H682" s="2168"/>
      <c r="I682" s="2168"/>
      <c r="J682" s="2121"/>
    </row>
    <row r="683" spans="6:10">
      <c r="F683" s="2168"/>
      <c r="G683" s="2168"/>
      <c r="H683" s="2168"/>
      <c r="I683" s="2168"/>
      <c r="J683" s="2121"/>
    </row>
    <row r="684" spans="6:10">
      <c r="F684" s="2168"/>
      <c r="G684" s="2168"/>
      <c r="H684" s="2168"/>
      <c r="I684" s="2168"/>
      <c r="J684" s="2121"/>
    </row>
    <row r="685" spans="6:10">
      <c r="F685" s="2168"/>
      <c r="G685" s="2168"/>
      <c r="H685" s="2168"/>
      <c r="I685" s="2168"/>
      <c r="J685" s="2121"/>
    </row>
    <row r="686" spans="6:10">
      <c r="F686" s="2168"/>
      <c r="G686" s="2168"/>
      <c r="H686" s="2168"/>
      <c r="I686" s="2168"/>
      <c r="J686" s="2121"/>
    </row>
    <row r="687" spans="6:10">
      <c r="F687" s="2168"/>
      <c r="G687" s="2168"/>
      <c r="H687" s="2168"/>
      <c r="I687" s="2168"/>
      <c r="J687" s="2121"/>
    </row>
    <row r="688" spans="6:10">
      <c r="F688" s="2168"/>
      <c r="G688" s="2168"/>
      <c r="H688" s="2168"/>
      <c r="I688" s="2168"/>
      <c r="J688" s="2121"/>
    </row>
    <row r="689" spans="6:10">
      <c r="F689" s="2168"/>
      <c r="G689" s="2168"/>
      <c r="H689" s="2168"/>
      <c r="I689" s="2168"/>
      <c r="J689" s="2121"/>
    </row>
    <row r="690" spans="6:10">
      <c r="F690" s="2168"/>
      <c r="G690" s="2168"/>
      <c r="H690" s="2168"/>
      <c r="I690" s="2168"/>
      <c r="J690" s="2121"/>
    </row>
    <row r="691" spans="6:10">
      <c r="F691" s="2168"/>
      <c r="G691" s="2168"/>
      <c r="H691" s="2168"/>
      <c r="I691" s="2168"/>
      <c r="J691" s="2121"/>
    </row>
    <row r="692" spans="6:10">
      <c r="F692" s="2168"/>
      <c r="G692" s="2168"/>
      <c r="H692" s="2168"/>
      <c r="I692" s="2168"/>
      <c r="J692" s="2121"/>
    </row>
    <row r="693" spans="6:10">
      <c r="F693" s="2168"/>
      <c r="G693" s="2168"/>
      <c r="H693" s="2168"/>
      <c r="I693" s="2168"/>
      <c r="J693" s="2121"/>
    </row>
    <row r="694" spans="6:10">
      <c r="F694" s="2168"/>
      <c r="G694" s="2168"/>
      <c r="H694" s="2168"/>
      <c r="I694" s="2168"/>
      <c r="J694" s="2121"/>
    </row>
    <row r="695" spans="6:10">
      <c r="F695" s="2168"/>
      <c r="G695" s="2168"/>
      <c r="H695" s="2168"/>
      <c r="I695" s="2168"/>
      <c r="J695" s="2121"/>
    </row>
    <row r="696" spans="6:10">
      <c r="F696" s="2168"/>
      <c r="G696" s="2168"/>
      <c r="H696" s="2168"/>
      <c r="I696" s="2168"/>
      <c r="J696" s="2121"/>
    </row>
    <row r="697" spans="6:10">
      <c r="F697" s="2168"/>
      <c r="G697" s="2168"/>
      <c r="H697" s="2168"/>
      <c r="I697" s="2168"/>
      <c r="J697" s="2121"/>
    </row>
    <row r="698" spans="6:10">
      <c r="F698" s="2168"/>
      <c r="G698" s="2168"/>
      <c r="H698" s="2168"/>
      <c r="I698" s="2168"/>
      <c r="J698" s="2121"/>
    </row>
    <row r="699" spans="6:10">
      <c r="F699" s="2168"/>
      <c r="G699" s="2168"/>
      <c r="H699" s="2168"/>
      <c r="I699" s="2168"/>
      <c r="J699" s="2121"/>
    </row>
    <row r="700" spans="6:10">
      <c r="F700" s="2168"/>
      <c r="G700" s="2168"/>
      <c r="H700" s="2168"/>
      <c r="I700" s="2168"/>
      <c r="J700" s="2121"/>
    </row>
    <row r="701" spans="6:10">
      <c r="F701" s="2168"/>
      <c r="G701" s="2168"/>
      <c r="H701" s="2168"/>
      <c r="I701" s="2168"/>
      <c r="J701" s="2121"/>
    </row>
    <row r="702" spans="6:10">
      <c r="F702" s="2168"/>
      <c r="G702" s="2168"/>
      <c r="H702" s="2168"/>
      <c r="I702" s="2168"/>
      <c r="J702" s="2121"/>
    </row>
    <row r="703" spans="6:10">
      <c r="F703" s="2168"/>
      <c r="G703" s="2168"/>
      <c r="H703" s="2168"/>
      <c r="I703" s="2168"/>
      <c r="J703" s="2121"/>
    </row>
    <row r="704" spans="6:10">
      <c r="F704" s="2168"/>
      <c r="G704" s="2168"/>
      <c r="H704" s="2168"/>
      <c r="I704" s="2168"/>
      <c r="J704" s="2121"/>
    </row>
    <row r="705" spans="6:10">
      <c r="F705" s="2168"/>
      <c r="G705" s="2168"/>
      <c r="H705" s="2168"/>
      <c r="I705" s="2168"/>
      <c r="J705" s="2121"/>
    </row>
    <row r="706" spans="6:10">
      <c r="F706" s="2168"/>
      <c r="G706" s="2168"/>
      <c r="H706" s="2168"/>
      <c r="I706" s="2168"/>
      <c r="J706" s="2121"/>
    </row>
    <row r="707" spans="6:10">
      <c r="F707" s="2168"/>
      <c r="G707" s="2168"/>
      <c r="H707" s="2168"/>
      <c r="I707" s="2168"/>
      <c r="J707" s="2121"/>
    </row>
    <row r="708" spans="6:10">
      <c r="F708" s="2168"/>
      <c r="G708" s="2168"/>
      <c r="H708" s="2168"/>
      <c r="I708" s="2168"/>
      <c r="J708" s="2121"/>
    </row>
    <row r="709" spans="6:10">
      <c r="F709" s="2168"/>
      <c r="G709" s="2168"/>
      <c r="H709" s="2168"/>
      <c r="I709" s="2168"/>
      <c r="J709" s="2121"/>
    </row>
    <row r="710" spans="6:10">
      <c r="F710" s="2168"/>
      <c r="G710" s="2168"/>
      <c r="H710" s="2168"/>
      <c r="I710" s="2168"/>
      <c r="J710" s="2121"/>
    </row>
    <row r="711" spans="6:10">
      <c r="F711" s="2168"/>
      <c r="G711" s="2168"/>
      <c r="H711" s="2168"/>
      <c r="I711" s="2168"/>
      <c r="J711" s="2121"/>
    </row>
    <row r="712" spans="6:10">
      <c r="F712" s="2168"/>
      <c r="G712" s="2168"/>
      <c r="H712" s="2168"/>
      <c r="I712" s="2168"/>
      <c r="J712" s="2121"/>
    </row>
    <row r="713" spans="6:10">
      <c r="F713" s="2168"/>
      <c r="G713" s="2168"/>
      <c r="H713" s="2168"/>
      <c r="I713" s="2168"/>
      <c r="J713" s="2121"/>
    </row>
    <row r="714" spans="6:10">
      <c r="F714" s="2168"/>
      <c r="G714" s="2168"/>
      <c r="H714" s="2168"/>
      <c r="I714" s="2168"/>
      <c r="J714" s="2121"/>
    </row>
    <row r="715" spans="6:10">
      <c r="F715" s="2168"/>
      <c r="G715" s="2168"/>
      <c r="H715" s="2168"/>
      <c r="I715" s="2168"/>
      <c r="J715" s="2121"/>
    </row>
    <row r="716" spans="6:10">
      <c r="F716" s="2168"/>
      <c r="G716" s="2168"/>
      <c r="H716" s="2168"/>
      <c r="I716" s="2168"/>
      <c r="J716" s="2121"/>
    </row>
    <row r="717" spans="6:10">
      <c r="F717" s="2168"/>
      <c r="G717" s="2168"/>
      <c r="H717" s="2168"/>
      <c r="I717" s="2168"/>
      <c r="J717" s="2121"/>
    </row>
    <row r="718" spans="6:10">
      <c r="F718" s="2168"/>
      <c r="G718" s="2168"/>
      <c r="H718" s="2168"/>
      <c r="I718" s="2168"/>
      <c r="J718" s="2121"/>
    </row>
    <row r="719" spans="6:10">
      <c r="F719" s="2168"/>
      <c r="G719" s="2168"/>
      <c r="H719" s="2168"/>
      <c r="I719" s="2168"/>
      <c r="J719" s="2121"/>
    </row>
    <row r="720" spans="6:10">
      <c r="F720" s="2168"/>
      <c r="G720" s="2168"/>
      <c r="H720" s="2168"/>
      <c r="I720" s="2168"/>
      <c r="J720" s="2121"/>
    </row>
    <row r="721" spans="6:10">
      <c r="F721" s="2168"/>
      <c r="G721" s="2168"/>
      <c r="H721" s="2168"/>
      <c r="I721" s="2168"/>
      <c r="J721" s="2121"/>
    </row>
    <row r="722" spans="6:10">
      <c r="F722" s="2168"/>
      <c r="G722" s="2168"/>
      <c r="H722" s="2168"/>
      <c r="I722" s="2168"/>
      <c r="J722" s="2121"/>
    </row>
    <row r="723" spans="6:10">
      <c r="F723" s="2168"/>
      <c r="G723" s="2168"/>
      <c r="H723" s="2168"/>
      <c r="I723" s="2168"/>
      <c r="J723" s="2121"/>
    </row>
    <row r="724" spans="6:10">
      <c r="F724" s="2168"/>
      <c r="G724" s="2168"/>
      <c r="H724" s="2168"/>
      <c r="I724" s="2168"/>
      <c r="J724" s="2121"/>
    </row>
    <row r="725" spans="6:10">
      <c r="F725" s="2168"/>
      <c r="G725" s="2168"/>
      <c r="H725" s="2168"/>
      <c r="I725" s="2168"/>
      <c r="J725" s="2121"/>
    </row>
    <row r="726" spans="6:10">
      <c r="F726" s="2168"/>
      <c r="G726" s="2168"/>
      <c r="H726" s="2168"/>
      <c r="I726" s="2168"/>
      <c r="J726" s="2121"/>
    </row>
    <row r="727" spans="6:10">
      <c r="F727" s="2168"/>
      <c r="G727" s="2168"/>
      <c r="H727" s="2168"/>
      <c r="I727" s="2168"/>
      <c r="J727" s="2121"/>
    </row>
    <row r="728" spans="6:10">
      <c r="F728" s="2168"/>
      <c r="G728" s="2168"/>
      <c r="H728" s="2168"/>
      <c r="I728" s="2168"/>
      <c r="J728" s="2121"/>
    </row>
    <row r="729" spans="6:10">
      <c r="F729" s="2168"/>
      <c r="G729" s="2168"/>
      <c r="H729" s="2168"/>
      <c r="I729" s="2168"/>
      <c r="J729" s="2121"/>
    </row>
    <row r="730" spans="6:10">
      <c r="F730" s="2168"/>
      <c r="G730" s="2168"/>
      <c r="H730" s="2168"/>
      <c r="I730" s="2168"/>
      <c r="J730" s="2121"/>
    </row>
    <row r="731" spans="6:10">
      <c r="F731" s="2168"/>
      <c r="G731" s="2168"/>
      <c r="H731" s="2168"/>
      <c r="I731" s="2168"/>
      <c r="J731" s="2121"/>
    </row>
    <row r="732" spans="6:10">
      <c r="F732" s="2168"/>
      <c r="G732" s="2168"/>
      <c r="H732" s="2168"/>
      <c r="I732" s="2168"/>
      <c r="J732" s="2121"/>
    </row>
    <row r="733" spans="6:10">
      <c r="F733" s="2168"/>
      <c r="G733" s="2168"/>
      <c r="H733" s="2168"/>
      <c r="I733" s="2168"/>
      <c r="J733" s="2121"/>
    </row>
    <row r="734" spans="6:10">
      <c r="F734" s="2168"/>
      <c r="G734" s="2168"/>
      <c r="H734" s="2168"/>
      <c r="I734" s="2168"/>
      <c r="J734" s="2121"/>
    </row>
    <row r="735" spans="6:10">
      <c r="F735" s="2168"/>
      <c r="G735" s="2168"/>
      <c r="H735" s="2168"/>
      <c r="I735" s="2168"/>
      <c r="J735" s="2121"/>
    </row>
    <row r="736" spans="6:10">
      <c r="F736" s="2168"/>
      <c r="G736" s="2168"/>
      <c r="H736" s="2168"/>
      <c r="I736" s="2168"/>
      <c r="J736" s="2121"/>
    </row>
    <row r="737" spans="6:10">
      <c r="F737" s="2168"/>
      <c r="G737" s="2168"/>
      <c r="H737" s="2168"/>
      <c r="I737" s="2168"/>
      <c r="J737" s="2121"/>
    </row>
    <row r="738" spans="6:10">
      <c r="F738" s="2168"/>
      <c r="G738" s="2168"/>
      <c r="H738" s="2168"/>
      <c r="I738" s="2168"/>
      <c r="J738" s="2121"/>
    </row>
    <row r="739" spans="6:10">
      <c r="F739" s="2168"/>
      <c r="G739" s="2168"/>
      <c r="H739" s="2168"/>
      <c r="I739" s="2168"/>
      <c r="J739" s="2121"/>
    </row>
    <row r="740" spans="6:10">
      <c r="F740" s="2168"/>
      <c r="G740" s="2168"/>
      <c r="H740" s="2168"/>
      <c r="I740" s="2168"/>
      <c r="J740" s="2121"/>
    </row>
    <row r="741" spans="6:10">
      <c r="F741" s="2168"/>
      <c r="G741" s="2168"/>
      <c r="H741" s="2168"/>
      <c r="I741" s="2168"/>
      <c r="J741" s="2121"/>
    </row>
    <row r="742" spans="6:10">
      <c r="F742" s="2168"/>
      <c r="G742" s="2168"/>
      <c r="H742" s="2168"/>
      <c r="I742" s="2168"/>
      <c r="J742" s="2121"/>
    </row>
    <row r="743" spans="6:10">
      <c r="F743" s="2168"/>
      <c r="G743" s="2168"/>
      <c r="H743" s="2168"/>
      <c r="I743" s="2168"/>
      <c r="J743" s="2121"/>
    </row>
    <row r="744" spans="6:10">
      <c r="F744" s="2168"/>
      <c r="G744" s="2168"/>
      <c r="H744" s="2168"/>
      <c r="I744" s="2168"/>
      <c r="J744" s="2121"/>
    </row>
    <row r="745" spans="6:10">
      <c r="F745" s="2168"/>
      <c r="G745" s="2168"/>
      <c r="H745" s="2168"/>
      <c r="I745" s="2168"/>
      <c r="J745" s="2121"/>
    </row>
    <row r="746" spans="6:10">
      <c r="F746" s="2168"/>
      <c r="G746" s="2168"/>
      <c r="H746" s="2168"/>
      <c r="I746" s="2168"/>
      <c r="J746" s="2121"/>
    </row>
    <row r="747" spans="6:10">
      <c r="F747" s="2168"/>
      <c r="G747" s="2168"/>
      <c r="H747" s="2168"/>
      <c r="I747" s="2168"/>
      <c r="J747" s="2121"/>
    </row>
    <row r="748" spans="6:10">
      <c r="F748" s="2168"/>
      <c r="G748" s="2168"/>
      <c r="H748" s="2168"/>
      <c r="I748" s="2168"/>
      <c r="J748" s="2121"/>
    </row>
    <row r="749" spans="6:10">
      <c r="F749" s="2168"/>
      <c r="G749" s="2168"/>
      <c r="H749" s="2168"/>
      <c r="I749" s="2168"/>
      <c r="J749" s="2121"/>
    </row>
    <row r="750" spans="6:10">
      <c r="F750" s="2168"/>
      <c r="G750" s="2168"/>
      <c r="H750" s="2168"/>
      <c r="I750" s="2168"/>
      <c r="J750" s="2121"/>
    </row>
    <row r="751" spans="6:10">
      <c r="F751" s="2168"/>
      <c r="G751" s="2168"/>
      <c r="H751" s="2168"/>
      <c r="I751" s="2168"/>
      <c r="J751" s="2121"/>
    </row>
    <row r="752" spans="6:10">
      <c r="F752" s="2168"/>
      <c r="G752" s="2168"/>
      <c r="H752" s="2168"/>
      <c r="I752" s="2168"/>
      <c r="J752" s="2121"/>
    </row>
    <row r="753" spans="6:10">
      <c r="F753" s="2168"/>
      <c r="G753" s="2168"/>
      <c r="H753" s="2168"/>
      <c r="I753" s="2168"/>
      <c r="J753" s="2121"/>
    </row>
    <row r="754" spans="6:10">
      <c r="F754" s="2168"/>
      <c r="G754" s="2168"/>
      <c r="H754" s="2168"/>
      <c r="I754" s="2168"/>
      <c r="J754" s="2121"/>
    </row>
    <row r="755" spans="6:10">
      <c r="F755" s="2168"/>
      <c r="G755" s="2168"/>
      <c r="H755" s="2168"/>
      <c r="I755" s="2168"/>
      <c r="J755" s="2121"/>
    </row>
    <row r="756" spans="6:10">
      <c r="F756" s="2168"/>
      <c r="G756" s="2168"/>
      <c r="H756" s="2168"/>
      <c r="I756" s="2168"/>
      <c r="J756" s="2121"/>
    </row>
    <row r="757" spans="6:10">
      <c r="F757" s="2168"/>
      <c r="G757" s="2168"/>
      <c r="H757" s="2168"/>
      <c r="I757" s="2168"/>
      <c r="J757" s="2121"/>
    </row>
    <row r="758" spans="6:10">
      <c r="F758" s="2168"/>
      <c r="G758" s="2168"/>
      <c r="H758" s="2168"/>
      <c r="I758" s="2168"/>
      <c r="J758" s="2121"/>
    </row>
    <row r="759" spans="6:10">
      <c r="F759" s="2168"/>
      <c r="G759" s="2168"/>
      <c r="H759" s="2168"/>
      <c r="I759" s="2168"/>
      <c r="J759" s="2121"/>
    </row>
    <row r="760" spans="6:10">
      <c r="F760" s="2168"/>
      <c r="G760" s="2168"/>
      <c r="H760" s="2168"/>
      <c r="I760" s="2168"/>
      <c r="J760" s="2121"/>
    </row>
    <row r="761" spans="6:10">
      <c r="F761" s="2168"/>
      <c r="G761" s="2168"/>
      <c r="H761" s="2168"/>
      <c r="I761" s="2168"/>
      <c r="J761" s="2121"/>
    </row>
    <row r="762" spans="6:10">
      <c r="F762" s="2168"/>
      <c r="G762" s="2168"/>
      <c r="H762" s="2168"/>
      <c r="I762" s="2168"/>
      <c r="J762" s="2121"/>
    </row>
    <row r="763" spans="6:10">
      <c r="F763" s="2168"/>
      <c r="G763" s="2168"/>
      <c r="H763" s="2168"/>
      <c r="I763" s="2168"/>
      <c r="J763" s="2121"/>
    </row>
    <row r="764" spans="6:10">
      <c r="F764" s="2168"/>
      <c r="G764" s="2168"/>
      <c r="H764" s="2168"/>
      <c r="I764" s="2168"/>
      <c r="J764" s="2121"/>
    </row>
    <row r="765" spans="6:10">
      <c r="F765" s="2168"/>
      <c r="G765" s="2168"/>
      <c r="H765" s="2168"/>
      <c r="I765" s="2168"/>
      <c r="J765" s="2121"/>
    </row>
    <row r="766" spans="6:10">
      <c r="F766" s="2168"/>
      <c r="G766" s="2168"/>
      <c r="H766" s="2168"/>
      <c r="I766" s="2168"/>
      <c r="J766" s="2121"/>
    </row>
    <row r="767" spans="6:10">
      <c r="F767" s="2168"/>
      <c r="G767" s="2168"/>
      <c r="H767" s="2168"/>
      <c r="I767" s="2168"/>
      <c r="J767" s="2121"/>
    </row>
    <row r="768" spans="6:10">
      <c r="F768" s="2168"/>
      <c r="G768" s="2168"/>
      <c r="H768" s="2168"/>
      <c r="I768" s="2168"/>
      <c r="J768" s="2121"/>
    </row>
    <row r="769" spans="6:10">
      <c r="F769" s="2168"/>
      <c r="G769" s="2168"/>
      <c r="H769" s="2168"/>
      <c r="I769" s="2168"/>
      <c r="J769" s="2121"/>
    </row>
    <row r="770" spans="6:10">
      <c r="F770" s="2168"/>
      <c r="G770" s="2168"/>
      <c r="H770" s="2168"/>
      <c r="I770" s="2168"/>
      <c r="J770" s="2121"/>
    </row>
    <row r="771" spans="6:10">
      <c r="F771" s="2168"/>
      <c r="G771" s="2168"/>
      <c r="H771" s="2168"/>
      <c r="I771" s="2168"/>
      <c r="J771" s="2121"/>
    </row>
    <row r="772" spans="6:10">
      <c r="F772" s="2168"/>
      <c r="G772" s="2168"/>
      <c r="H772" s="2168"/>
      <c r="I772" s="2168"/>
      <c r="J772" s="2121"/>
    </row>
    <row r="773" spans="6:10">
      <c r="F773" s="2168"/>
      <c r="G773" s="2168"/>
      <c r="H773" s="2168"/>
      <c r="I773" s="2168"/>
      <c r="J773" s="2121"/>
    </row>
    <row r="774" spans="6:10">
      <c r="F774" s="2168"/>
      <c r="G774" s="2168"/>
      <c r="H774" s="2168"/>
      <c r="I774" s="2168"/>
      <c r="J774" s="2121"/>
    </row>
    <row r="775" spans="6:10">
      <c r="F775" s="2168"/>
      <c r="G775" s="2168"/>
      <c r="H775" s="2168"/>
      <c r="I775" s="2168"/>
      <c r="J775" s="2121"/>
    </row>
    <row r="776" spans="6:10">
      <c r="F776" s="2168"/>
      <c r="G776" s="2168"/>
      <c r="H776" s="2168"/>
      <c r="I776" s="2168"/>
      <c r="J776" s="2121"/>
    </row>
    <row r="777" spans="6:10">
      <c r="F777" s="2168"/>
      <c r="G777" s="2168"/>
      <c r="H777" s="2168"/>
      <c r="I777" s="2168"/>
      <c r="J777" s="2121"/>
    </row>
    <row r="778" spans="6:10">
      <c r="F778" s="2168"/>
      <c r="G778" s="2168"/>
      <c r="H778" s="2168"/>
      <c r="I778" s="2168"/>
      <c r="J778" s="2121"/>
    </row>
    <row r="779" spans="6:10">
      <c r="F779" s="2168"/>
      <c r="G779" s="2168"/>
      <c r="H779" s="2168"/>
      <c r="I779" s="2168"/>
      <c r="J779" s="2121"/>
    </row>
    <row r="780" spans="6:10">
      <c r="F780" s="2168"/>
      <c r="G780" s="2168"/>
      <c r="H780" s="2168"/>
      <c r="I780" s="2168"/>
      <c r="J780" s="2121"/>
    </row>
    <row r="781" spans="6:10">
      <c r="F781" s="2168"/>
      <c r="G781" s="2168"/>
      <c r="H781" s="2168"/>
      <c r="I781" s="2168"/>
      <c r="J781" s="2121"/>
    </row>
    <row r="782" spans="6:10">
      <c r="F782" s="2168"/>
      <c r="G782" s="2168"/>
      <c r="H782" s="2168"/>
      <c r="I782" s="2168"/>
      <c r="J782" s="2121"/>
    </row>
    <row r="783" spans="6:10">
      <c r="F783" s="2168"/>
      <c r="G783" s="2168"/>
      <c r="H783" s="2168"/>
      <c r="I783" s="2168"/>
      <c r="J783" s="2121"/>
    </row>
    <row r="784" spans="6:10">
      <c r="F784" s="2168"/>
      <c r="G784" s="2168"/>
      <c r="H784" s="2168"/>
      <c r="I784" s="2168"/>
      <c r="J784" s="2121"/>
    </row>
    <row r="785" spans="6:10">
      <c r="F785" s="2168"/>
      <c r="G785" s="2168"/>
      <c r="H785" s="2168"/>
      <c r="I785" s="2168"/>
      <c r="J785" s="2121"/>
    </row>
    <row r="786" spans="6:10">
      <c r="F786" s="2168"/>
      <c r="G786" s="2168"/>
      <c r="H786" s="2168"/>
      <c r="I786" s="2168"/>
      <c r="J786" s="2121"/>
    </row>
    <row r="787" spans="6:10">
      <c r="F787" s="2168"/>
      <c r="G787" s="2168"/>
      <c r="H787" s="2168"/>
      <c r="I787" s="2168"/>
      <c r="J787" s="2121"/>
    </row>
    <row r="788" spans="6:10">
      <c r="F788" s="2168"/>
      <c r="G788" s="2168"/>
      <c r="H788" s="2168"/>
      <c r="I788" s="2168"/>
      <c r="J788" s="2121"/>
    </row>
    <row r="789" spans="6:10">
      <c r="F789" s="2168"/>
      <c r="G789" s="2168"/>
      <c r="H789" s="2168"/>
      <c r="I789" s="2168"/>
      <c r="J789" s="2121"/>
    </row>
    <row r="790" spans="6:10">
      <c r="F790" s="2168"/>
      <c r="G790" s="2168"/>
      <c r="H790" s="2168"/>
      <c r="I790" s="2168"/>
      <c r="J790" s="2121"/>
    </row>
    <row r="791" spans="6:10">
      <c r="F791" s="2168"/>
      <c r="G791" s="2168"/>
      <c r="H791" s="2168"/>
      <c r="I791" s="2168"/>
      <c r="J791" s="2121"/>
    </row>
    <row r="792" spans="6:10">
      <c r="F792" s="2168"/>
      <c r="G792" s="2168"/>
      <c r="H792" s="2168"/>
      <c r="I792" s="2168"/>
      <c r="J792" s="2121"/>
    </row>
    <row r="793" spans="6:10">
      <c r="F793" s="2168"/>
      <c r="G793" s="2168"/>
      <c r="H793" s="2168"/>
      <c r="I793" s="2168"/>
      <c r="J793" s="2121"/>
    </row>
    <row r="794" spans="6:10">
      <c r="F794" s="2168"/>
      <c r="G794" s="2168"/>
      <c r="H794" s="2168"/>
      <c r="I794" s="2168"/>
      <c r="J794" s="2121"/>
    </row>
    <row r="795" spans="6:10">
      <c r="F795" s="2168"/>
      <c r="G795" s="2168"/>
      <c r="H795" s="2168"/>
      <c r="I795" s="2168"/>
      <c r="J795" s="2121"/>
    </row>
    <row r="796" spans="6:10">
      <c r="F796" s="2168"/>
      <c r="G796" s="2168"/>
      <c r="H796" s="2168"/>
      <c r="I796" s="2168"/>
      <c r="J796" s="2121"/>
    </row>
    <row r="797" spans="6:10">
      <c r="F797" s="2168"/>
      <c r="G797" s="2168"/>
      <c r="H797" s="2168"/>
      <c r="I797" s="2168"/>
      <c r="J797" s="2121"/>
    </row>
    <row r="798" spans="6:10">
      <c r="F798" s="2168"/>
      <c r="G798" s="2168"/>
      <c r="H798" s="2168"/>
      <c r="I798" s="2168"/>
      <c r="J798" s="2121"/>
    </row>
    <row r="799" spans="6:10">
      <c r="F799" s="2168"/>
      <c r="G799" s="2168"/>
      <c r="H799" s="2168"/>
      <c r="I799" s="2168"/>
      <c r="J799" s="2121"/>
    </row>
    <row r="800" spans="6:10">
      <c r="F800" s="2168"/>
      <c r="G800" s="2168"/>
      <c r="H800" s="2168"/>
      <c r="I800" s="2168"/>
      <c r="J800" s="2121"/>
    </row>
    <row r="801" spans="6:10">
      <c r="F801" s="2168"/>
      <c r="G801" s="2168"/>
      <c r="H801" s="2168"/>
      <c r="I801" s="2168"/>
      <c r="J801" s="2121"/>
    </row>
    <row r="802" spans="6:10">
      <c r="F802" s="2168"/>
      <c r="G802" s="2168"/>
      <c r="H802" s="2168"/>
      <c r="I802" s="2168"/>
      <c r="J802" s="2121"/>
    </row>
    <row r="803" spans="6:10">
      <c r="F803" s="2168"/>
      <c r="G803" s="2168"/>
      <c r="H803" s="2168"/>
      <c r="I803" s="2168"/>
      <c r="J803" s="2121"/>
    </row>
    <row r="804" spans="6:10">
      <c r="F804" s="2168"/>
      <c r="G804" s="2168"/>
      <c r="H804" s="2168"/>
      <c r="I804" s="2168"/>
      <c r="J804" s="2121"/>
    </row>
    <row r="805" spans="6:10">
      <c r="F805" s="2168"/>
      <c r="G805" s="2168"/>
      <c r="H805" s="2168"/>
      <c r="I805" s="2168"/>
      <c r="J805" s="2121"/>
    </row>
    <row r="806" spans="6:10">
      <c r="F806" s="2168"/>
      <c r="G806" s="2168"/>
      <c r="H806" s="2168"/>
      <c r="I806" s="2168"/>
      <c r="J806" s="2121"/>
    </row>
    <row r="807" spans="6:10">
      <c r="F807" s="2168"/>
      <c r="G807" s="2168"/>
      <c r="H807" s="2168"/>
      <c r="I807" s="2168"/>
      <c r="J807" s="2121"/>
    </row>
    <row r="808" spans="6:10">
      <c r="F808" s="2168"/>
      <c r="G808" s="2168"/>
      <c r="H808" s="2168"/>
      <c r="I808" s="2168"/>
      <c r="J808" s="2121"/>
    </row>
    <row r="809" spans="6:10">
      <c r="F809" s="2168"/>
      <c r="G809" s="2168"/>
      <c r="H809" s="2168"/>
      <c r="I809" s="2168"/>
      <c r="J809" s="2121"/>
    </row>
    <row r="810" spans="6:10">
      <c r="F810" s="2168"/>
      <c r="G810" s="2168"/>
      <c r="H810" s="2168"/>
      <c r="I810" s="2168"/>
      <c r="J810" s="2121"/>
    </row>
    <row r="811" spans="6:10">
      <c r="F811" s="2168"/>
      <c r="G811" s="2168"/>
      <c r="H811" s="2168"/>
      <c r="I811" s="2168"/>
      <c r="J811" s="2121"/>
    </row>
    <row r="812" spans="6:10">
      <c r="F812" s="2168"/>
      <c r="G812" s="2168"/>
      <c r="H812" s="2168"/>
      <c r="I812" s="2168"/>
      <c r="J812" s="2121"/>
    </row>
    <row r="813" spans="6:10">
      <c r="F813" s="2168"/>
      <c r="G813" s="2168"/>
      <c r="H813" s="2168"/>
      <c r="I813" s="2168"/>
      <c r="J813" s="2121"/>
    </row>
    <row r="814" spans="6:10">
      <c r="F814" s="2168"/>
      <c r="G814" s="2168"/>
      <c r="H814" s="2168"/>
      <c r="I814" s="2168"/>
      <c r="J814" s="2121"/>
    </row>
    <row r="815" spans="6:10">
      <c r="F815" s="2168"/>
      <c r="G815" s="2168"/>
      <c r="H815" s="2168"/>
      <c r="I815" s="2168"/>
      <c r="J815" s="2121"/>
    </row>
    <row r="816" spans="6:10">
      <c r="F816" s="2168"/>
      <c r="G816" s="2168"/>
      <c r="H816" s="2168"/>
      <c r="I816" s="2168"/>
      <c r="J816" s="2121"/>
    </row>
    <row r="817" spans="6:10">
      <c r="F817" s="2168"/>
      <c r="G817" s="2168"/>
      <c r="H817" s="2168"/>
      <c r="I817" s="2168"/>
      <c r="J817" s="2121"/>
    </row>
    <row r="818" spans="6:10">
      <c r="F818" s="2168"/>
      <c r="G818" s="2168"/>
      <c r="H818" s="2168"/>
      <c r="I818" s="2168"/>
      <c r="J818" s="2121"/>
    </row>
    <row r="819" spans="6:10">
      <c r="F819" s="2168"/>
      <c r="G819" s="2168"/>
      <c r="H819" s="2168"/>
      <c r="I819" s="2168"/>
      <c r="J819" s="2121"/>
    </row>
    <row r="820" spans="6:10">
      <c r="F820" s="2168"/>
      <c r="G820" s="2168"/>
      <c r="H820" s="2168"/>
      <c r="I820" s="2168"/>
      <c r="J820" s="2121"/>
    </row>
    <row r="821" spans="6:10">
      <c r="F821" s="2168"/>
      <c r="G821" s="2168"/>
      <c r="H821" s="2168"/>
      <c r="I821" s="2168"/>
      <c r="J821" s="2121"/>
    </row>
    <row r="822" spans="6:10">
      <c r="F822" s="2168"/>
      <c r="G822" s="2168"/>
      <c r="H822" s="2168"/>
      <c r="I822" s="2168"/>
      <c r="J822" s="2121"/>
    </row>
    <row r="823" spans="6:10">
      <c r="F823" s="2168"/>
      <c r="G823" s="2168"/>
      <c r="H823" s="2168"/>
      <c r="I823" s="2168"/>
      <c r="J823" s="2121"/>
    </row>
    <row r="824" spans="6:10">
      <c r="F824" s="2168"/>
      <c r="G824" s="2168"/>
      <c r="H824" s="2168"/>
      <c r="I824" s="2168"/>
      <c r="J824" s="2121"/>
    </row>
    <row r="825" spans="6:10">
      <c r="F825" s="2168"/>
      <c r="G825" s="2168"/>
      <c r="H825" s="2168"/>
      <c r="I825" s="2168"/>
      <c r="J825" s="2121"/>
    </row>
    <row r="826" spans="6:10">
      <c r="F826" s="2168"/>
      <c r="G826" s="2168"/>
      <c r="H826" s="2168"/>
      <c r="I826" s="2168"/>
      <c r="J826" s="2121"/>
    </row>
    <row r="827" spans="6:10">
      <c r="F827" s="2168"/>
      <c r="G827" s="2168"/>
      <c r="H827" s="2168"/>
      <c r="I827" s="2168"/>
      <c r="J827" s="2121"/>
    </row>
    <row r="828" spans="6:10">
      <c r="F828" s="2168"/>
      <c r="G828" s="2168"/>
      <c r="H828" s="2168"/>
      <c r="I828" s="2168"/>
      <c r="J828" s="2121"/>
    </row>
    <row r="829" spans="6:10">
      <c r="F829" s="2168"/>
      <c r="G829" s="2168"/>
      <c r="H829" s="2168"/>
      <c r="I829" s="2168"/>
      <c r="J829" s="2121"/>
    </row>
    <row r="830" spans="6:10">
      <c r="F830" s="2168"/>
      <c r="G830" s="2168"/>
      <c r="H830" s="2168"/>
      <c r="I830" s="2168"/>
      <c r="J830" s="2121"/>
    </row>
    <row r="831" spans="6:10">
      <c r="F831" s="2168"/>
      <c r="G831" s="2168"/>
      <c r="H831" s="2168"/>
      <c r="I831" s="2168"/>
      <c r="J831" s="2121"/>
    </row>
    <row r="832" spans="6:10">
      <c r="F832" s="2168"/>
      <c r="G832" s="2168"/>
      <c r="H832" s="2168"/>
      <c r="I832" s="2168"/>
      <c r="J832" s="2121"/>
    </row>
    <row r="833" spans="6:10">
      <c r="F833" s="2168"/>
      <c r="G833" s="2168"/>
      <c r="H833" s="2168"/>
      <c r="I833" s="2168"/>
      <c r="J833" s="2121"/>
    </row>
    <row r="834" spans="6:10">
      <c r="F834" s="2168"/>
      <c r="G834" s="2168"/>
      <c r="H834" s="2168"/>
      <c r="I834" s="2168"/>
      <c r="J834" s="2121"/>
    </row>
    <row r="835" spans="6:10">
      <c r="F835" s="2168"/>
      <c r="G835" s="2168"/>
      <c r="H835" s="2168"/>
      <c r="I835" s="2168"/>
      <c r="J835" s="2121"/>
    </row>
    <row r="836" spans="6:10">
      <c r="F836" s="2168"/>
      <c r="G836" s="2168"/>
      <c r="H836" s="2168"/>
      <c r="I836" s="2168"/>
      <c r="J836" s="2121"/>
    </row>
    <row r="837" spans="6:10">
      <c r="F837" s="2168"/>
      <c r="G837" s="2168"/>
      <c r="H837" s="2168"/>
      <c r="I837" s="2168"/>
      <c r="J837" s="2121"/>
    </row>
    <row r="838" spans="6:10">
      <c r="F838" s="2168"/>
      <c r="G838" s="2168"/>
      <c r="H838" s="2168"/>
      <c r="I838" s="2168"/>
      <c r="J838" s="2121"/>
    </row>
    <row r="839" spans="6:10">
      <c r="F839" s="2168"/>
      <c r="G839" s="2168"/>
      <c r="H839" s="2168"/>
      <c r="I839" s="2168"/>
      <c r="J839" s="2121"/>
    </row>
    <row r="840" spans="6:10">
      <c r="F840" s="2168"/>
      <c r="G840" s="2168"/>
      <c r="H840" s="2168"/>
      <c r="I840" s="2168"/>
      <c r="J840" s="2121"/>
    </row>
    <row r="841" spans="6:10">
      <c r="F841" s="2168"/>
      <c r="G841" s="2168"/>
      <c r="H841" s="2168"/>
      <c r="I841" s="2168"/>
      <c r="J841" s="2121"/>
    </row>
    <row r="842" spans="6:10">
      <c r="F842" s="2168"/>
      <c r="G842" s="2168"/>
      <c r="H842" s="2168"/>
      <c r="I842" s="2168"/>
      <c r="J842" s="2121"/>
    </row>
    <row r="843" spans="6:10">
      <c r="F843" s="2168"/>
      <c r="G843" s="2168"/>
      <c r="H843" s="2168"/>
      <c r="I843" s="2168"/>
      <c r="J843" s="2121"/>
    </row>
    <row r="844" spans="6:10">
      <c r="F844" s="2168"/>
      <c r="G844" s="2168"/>
      <c r="H844" s="2168"/>
      <c r="I844" s="2168"/>
      <c r="J844" s="2121"/>
    </row>
    <row r="845" spans="6:10">
      <c r="F845" s="2168"/>
      <c r="G845" s="2168"/>
      <c r="H845" s="2168"/>
      <c r="I845" s="2168"/>
      <c r="J845" s="2121"/>
    </row>
    <row r="846" spans="6:10">
      <c r="F846" s="2168"/>
      <c r="G846" s="2168"/>
      <c r="H846" s="2168"/>
      <c r="I846" s="2168"/>
      <c r="J846" s="2121"/>
    </row>
    <row r="847" spans="6:10">
      <c r="F847" s="2168"/>
      <c r="G847" s="2168"/>
      <c r="H847" s="2168"/>
      <c r="I847" s="2168"/>
      <c r="J847" s="2121"/>
    </row>
    <row r="848" spans="6:10">
      <c r="F848" s="2168"/>
      <c r="G848" s="2168"/>
      <c r="H848" s="2168"/>
      <c r="I848" s="2168"/>
      <c r="J848" s="2121"/>
    </row>
    <row r="849" spans="6:10">
      <c r="F849" s="2168"/>
      <c r="G849" s="2168"/>
      <c r="H849" s="2168"/>
      <c r="I849" s="2168"/>
      <c r="J849" s="2121"/>
    </row>
    <row r="850" spans="6:10">
      <c r="F850" s="2168"/>
      <c r="G850" s="2168"/>
      <c r="H850" s="2168"/>
      <c r="I850" s="2168"/>
      <c r="J850" s="2121"/>
    </row>
    <row r="851" spans="6:10">
      <c r="F851" s="2168"/>
      <c r="G851" s="2168"/>
      <c r="H851" s="2168"/>
      <c r="I851" s="2168"/>
      <c r="J851" s="2121"/>
    </row>
    <row r="852" spans="6:10">
      <c r="F852" s="2168"/>
      <c r="G852" s="2168"/>
      <c r="H852" s="2168"/>
      <c r="I852" s="2168"/>
      <c r="J852" s="2121"/>
    </row>
    <row r="853" spans="6:10">
      <c r="F853" s="2168"/>
      <c r="G853" s="2168"/>
      <c r="H853" s="2168"/>
      <c r="I853" s="2168"/>
      <c r="J853" s="2121"/>
    </row>
    <row r="854" spans="6:10">
      <c r="F854" s="2168"/>
      <c r="G854" s="2168"/>
      <c r="H854" s="2168"/>
      <c r="I854" s="2168"/>
      <c r="J854" s="2121"/>
    </row>
    <row r="855" spans="6:10">
      <c r="F855" s="2168"/>
      <c r="G855" s="2168"/>
      <c r="H855" s="2168"/>
      <c r="I855" s="2168"/>
      <c r="J855" s="2121"/>
    </row>
    <row r="856" spans="6:10">
      <c r="F856" s="2168"/>
      <c r="G856" s="2168"/>
      <c r="H856" s="2168"/>
      <c r="I856" s="2168"/>
      <c r="J856" s="2121"/>
    </row>
    <row r="857" spans="6:10">
      <c r="F857" s="2168"/>
      <c r="G857" s="2168"/>
      <c r="H857" s="2168"/>
      <c r="I857" s="2168"/>
      <c r="J857" s="2121"/>
    </row>
    <row r="858" spans="6:10">
      <c r="F858" s="2168"/>
      <c r="G858" s="2168"/>
      <c r="H858" s="2168"/>
      <c r="I858" s="2168"/>
      <c r="J858" s="2121"/>
    </row>
    <row r="859" spans="6:10">
      <c r="F859" s="2168"/>
      <c r="G859" s="2168"/>
      <c r="H859" s="2168"/>
      <c r="I859" s="2168"/>
      <c r="J859" s="2121"/>
    </row>
    <row r="860" spans="6:10">
      <c r="F860" s="2168"/>
      <c r="G860" s="2168"/>
      <c r="H860" s="2168"/>
      <c r="I860" s="2168"/>
      <c r="J860" s="2121"/>
    </row>
    <row r="861" spans="6:10">
      <c r="F861" s="2168"/>
      <c r="G861" s="2168"/>
      <c r="H861" s="2168"/>
      <c r="I861" s="2168"/>
      <c r="J861" s="2121"/>
    </row>
    <row r="862" spans="6:10">
      <c r="F862" s="2168"/>
      <c r="G862" s="2168"/>
      <c r="H862" s="2168"/>
      <c r="I862" s="2168"/>
      <c r="J862" s="2121"/>
    </row>
    <row r="863" spans="6:10">
      <c r="F863" s="2168"/>
      <c r="G863" s="2168"/>
      <c r="H863" s="2168"/>
      <c r="I863" s="2168"/>
      <c r="J863" s="2121"/>
    </row>
    <row r="864" spans="6:10">
      <c r="F864" s="2168"/>
      <c r="G864" s="2168"/>
      <c r="H864" s="2168"/>
      <c r="I864" s="2168"/>
      <c r="J864" s="2121"/>
    </row>
    <row r="865" spans="6:10">
      <c r="F865" s="2168"/>
      <c r="G865" s="2168"/>
      <c r="H865" s="2168"/>
      <c r="I865" s="2168"/>
      <c r="J865" s="2121"/>
    </row>
    <row r="866" spans="6:10">
      <c r="F866" s="2168"/>
      <c r="G866" s="2168"/>
      <c r="H866" s="2168"/>
      <c r="I866" s="2168"/>
      <c r="J866" s="2121"/>
    </row>
    <row r="867" spans="6:10">
      <c r="F867" s="2168"/>
      <c r="G867" s="2168"/>
      <c r="H867" s="2168"/>
      <c r="I867" s="2168"/>
      <c r="J867" s="2121"/>
    </row>
    <row r="868" spans="6:10">
      <c r="F868" s="2168"/>
      <c r="G868" s="2168"/>
      <c r="H868" s="2168"/>
      <c r="I868" s="2168"/>
      <c r="J868" s="2121"/>
    </row>
    <row r="869" spans="6:10">
      <c r="F869" s="2168"/>
      <c r="G869" s="2168"/>
      <c r="H869" s="2168"/>
      <c r="I869" s="2168"/>
      <c r="J869" s="2121"/>
    </row>
    <row r="870" spans="6:10">
      <c r="F870" s="2168"/>
      <c r="G870" s="2168"/>
      <c r="H870" s="2168"/>
      <c r="I870" s="2168"/>
      <c r="J870" s="2121"/>
    </row>
    <row r="871" spans="6:10">
      <c r="F871" s="2168"/>
      <c r="G871" s="2168"/>
      <c r="H871" s="2168"/>
      <c r="I871" s="2168"/>
      <c r="J871" s="2121"/>
    </row>
    <row r="872" spans="6:10">
      <c r="F872" s="2168"/>
      <c r="G872" s="2168"/>
      <c r="H872" s="2168"/>
      <c r="I872" s="2168"/>
      <c r="J872" s="2121"/>
    </row>
    <row r="873" spans="6:10">
      <c r="F873" s="2168"/>
      <c r="G873" s="2168"/>
      <c r="H873" s="2168"/>
      <c r="I873" s="2168"/>
      <c r="J873" s="2121"/>
    </row>
    <row r="874" spans="6:10">
      <c r="F874" s="2168"/>
      <c r="G874" s="2168"/>
      <c r="H874" s="2168"/>
      <c r="I874" s="2168"/>
      <c r="J874" s="2121"/>
    </row>
    <row r="875" spans="6:10">
      <c r="F875" s="2168"/>
      <c r="G875" s="2168"/>
      <c r="H875" s="2168"/>
      <c r="I875" s="2168"/>
      <c r="J875" s="2121"/>
    </row>
    <row r="876" spans="6:10">
      <c r="F876" s="2168"/>
      <c r="G876" s="2168"/>
      <c r="H876" s="2168"/>
      <c r="I876" s="2168"/>
      <c r="J876" s="2121"/>
    </row>
    <row r="877" spans="6:10">
      <c r="F877" s="2168"/>
      <c r="G877" s="2168"/>
      <c r="H877" s="2168"/>
      <c r="I877" s="2168"/>
      <c r="J877" s="2121"/>
    </row>
    <row r="878" spans="6:10">
      <c r="F878" s="2168"/>
      <c r="G878" s="2168"/>
      <c r="H878" s="2168"/>
      <c r="I878" s="2168"/>
      <c r="J878" s="2121"/>
    </row>
    <row r="879" spans="6:10">
      <c r="F879" s="2168"/>
      <c r="G879" s="2168"/>
      <c r="H879" s="2168"/>
      <c r="I879" s="2168"/>
      <c r="J879" s="2121"/>
    </row>
    <row r="880" spans="6:10">
      <c r="F880" s="2168"/>
      <c r="G880" s="2168"/>
      <c r="H880" s="2168"/>
      <c r="I880" s="2168"/>
      <c r="J880" s="2121"/>
    </row>
    <row r="881" spans="6:10">
      <c r="F881" s="2168"/>
      <c r="G881" s="2168"/>
      <c r="H881" s="2168"/>
      <c r="I881" s="2168"/>
      <c r="J881" s="2121"/>
    </row>
    <row r="882" spans="6:10">
      <c r="F882" s="2168"/>
      <c r="G882" s="2168"/>
      <c r="H882" s="2168"/>
      <c r="I882" s="2168"/>
      <c r="J882" s="2121"/>
    </row>
    <row r="883" spans="6:10">
      <c r="F883" s="2168"/>
      <c r="G883" s="2168"/>
      <c r="H883" s="2168"/>
      <c r="I883" s="2168"/>
      <c r="J883" s="2121"/>
    </row>
    <row r="884" spans="6:10">
      <c r="F884" s="2168"/>
      <c r="G884" s="2168"/>
      <c r="H884" s="2168"/>
      <c r="I884" s="2168"/>
      <c r="J884" s="2121"/>
    </row>
    <row r="885" spans="6:10">
      <c r="F885" s="2168"/>
      <c r="G885" s="2168"/>
      <c r="H885" s="2168"/>
      <c r="I885" s="2168"/>
      <c r="J885" s="2121"/>
    </row>
    <row r="886" spans="6:10">
      <c r="F886" s="2168"/>
      <c r="G886" s="2168"/>
      <c r="H886" s="2168"/>
      <c r="I886" s="2168"/>
      <c r="J886" s="2121"/>
    </row>
    <row r="887" spans="6:10">
      <c r="F887" s="2168"/>
      <c r="G887" s="2168"/>
      <c r="H887" s="2168"/>
      <c r="I887" s="2168"/>
      <c r="J887" s="2121"/>
    </row>
    <row r="888" spans="6:10">
      <c r="F888" s="2168"/>
      <c r="G888" s="2168"/>
      <c r="H888" s="2168"/>
      <c r="I888" s="2168"/>
      <c r="J888" s="2121"/>
    </row>
    <row r="889" spans="6:10">
      <c r="F889" s="2168"/>
      <c r="G889" s="2168"/>
      <c r="H889" s="2168"/>
      <c r="I889" s="2168"/>
      <c r="J889" s="2121"/>
    </row>
    <row r="890" spans="6:10">
      <c r="F890" s="2168"/>
      <c r="G890" s="2168"/>
      <c r="H890" s="2168"/>
      <c r="I890" s="2168"/>
      <c r="J890" s="2121"/>
    </row>
    <row r="891" spans="6:10">
      <c r="F891" s="2168"/>
      <c r="G891" s="2168"/>
      <c r="H891" s="2168"/>
      <c r="I891" s="2168"/>
      <c r="J891" s="2121"/>
    </row>
    <row r="892" spans="6:10">
      <c r="F892" s="2168"/>
      <c r="G892" s="2168"/>
      <c r="H892" s="2168"/>
      <c r="I892" s="2168"/>
      <c r="J892" s="2121"/>
    </row>
    <row r="893" spans="6:10">
      <c r="F893" s="2168"/>
      <c r="G893" s="2168"/>
      <c r="H893" s="2168"/>
      <c r="I893" s="2168"/>
      <c r="J893" s="2121"/>
    </row>
    <row r="894" spans="6:10">
      <c r="F894" s="2168"/>
      <c r="G894" s="2168"/>
      <c r="H894" s="2168"/>
      <c r="I894" s="2168"/>
      <c r="J894" s="2121"/>
    </row>
    <row r="895" spans="6:10">
      <c r="F895" s="2168"/>
      <c r="G895" s="2168"/>
      <c r="H895" s="2168"/>
      <c r="I895" s="2168"/>
      <c r="J895" s="2121"/>
    </row>
    <row r="896" spans="6:10">
      <c r="F896" s="2168"/>
      <c r="G896" s="2168"/>
      <c r="H896" s="2168"/>
      <c r="I896" s="2168"/>
      <c r="J896" s="2121"/>
    </row>
    <row r="897" spans="6:10">
      <c r="F897" s="2168"/>
      <c r="G897" s="2168"/>
      <c r="H897" s="2168"/>
      <c r="I897" s="2168"/>
      <c r="J897" s="2121"/>
    </row>
    <row r="898" spans="6:10">
      <c r="F898" s="2168"/>
      <c r="G898" s="2168"/>
      <c r="H898" s="2168"/>
      <c r="I898" s="2168"/>
      <c r="J898" s="2121"/>
    </row>
    <row r="899" spans="6:10">
      <c r="F899" s="2168"/>
      <c r="G899" s="2168"/>
      <c r="H899" s="2168"/>
      <c r="I899" s="2168"/>
      <c r="J899" s="2121"/>
    </row>
    <row r="900" spans="6:10">
      <c r="F900" s="2168"/>
      <c r="G900" s="2168"/>
      <c r="H900" s="2168"/>
      <c r="I900" s="2168"/>
      <c r="J900" s="2121"/>
    </row>
    <row r="901" spans="6:10">
      <c r="F901" s="2168"/>
      <c r="G901" s="2168"/>
      <c r="H901" s="2168"/>
      <c r="I901" s="2168"/>
      <c r="J901" s="2121"/>
    </row>
    <row r="902" spans="6:10">
      <c r="F902" s="2168"/>
      <c r="G902" s="2168"/>
      <c r="H902" s="2168"/>
      <c r="I902" s="2168"/>
      <c r="J902" s="2121"/>
    </row>
    <row r="903" spans="6:10">
      <c r="F903" s="2168"/>
      <c r="G903" s="2168"/>
      <c r="H903" s="2168"/>
      <c r="I903" s="2168"/>
      <c r="J903" s="2121"/>
    </row>
    <row r="904" spans="6:10">
      <c r="F904" s="2168"/>
      <c r="G904" s="2168"/>
      <c r="H904" s="2168"/>
      <c r="I904" s="2168"/>
      <c r="J904" s="2121"/>
    </row>
    <row r="905" spans="6:10">
      <c r="F905" s="2168"/>
      <c r="G905" s="2168"/>
      <c r="H905" s="2168"/>
      <c r="I905" s="2168"/>
      <c r="J905" s="2121"/>
    </row>
    <row r="906" spans="6:10">
      <c r="F906" s="2168"/>
      <c r="G906" s="2168"/>
      <c r="H906" s="2168"/>
      <c r="I906" s="2168"/>
      <c r="J906" s="2121"/>
    </row>
    <row r="907" spans="6:10">
      <c r="F907" s="2168"/>
      <c r="G907" s="2168"/>
      <c r="H907" s="2168"/>
      <c r="I907" s="2168"/>
      <c r="J907" s="2121"/>
    </row>
    <row r="908" spans="6:10">
      <c r="F908" s="2168"/>
      <c r="G908" s="2168"/>
      <c r="H908" s="2168"/>
      <c r="I908" s="2168"/>
      <c r="J908" s="2121"/>
    </row>
    <row r="909" spans="6:10">
      <c r="F909" s="2168"/>
      <c r="G909" s="2168"/>
      <c r="H909" s="2168"/>
      <c r="I909" s="2168"/>
      <c r="J909" s="2121"/>
    </row>
    <row r="910" spans="6:10">
      <c r="F910" s="2168"/>
      <c r="G910" s="2168"/>
      <c r="H910" s="2168"/>
      <c r="I910" s="2168"/>
      <c r="J910" s="2121"/>
    </row>
    <row r="911" spans="6:10">
      <c r="F911" s="2168"/>
      <c r="G911" s="2168"/>
      <c r="H911" s="2168"/>
      <c r="I911" s="2168"/>
      <c r="J911" s="2121"/>
    </row>
    <row r="912" spans="6:10">
      <c r="F912" s="2168"/>
      <c r="G912" s="2168"/>
      <c r="H912" s="2168"/>
      <c r="I912" s="2168"/>
      <c r="J912" s="2121"/>
    </row>
    <row r="913" spans="6:10">
      <c r="F913" s="2168"/>
      <c r="G913" s="2168"/>
      <c r="H913" s="2168"/>
      <c r="I913" s="2168"/>
      <c r="J913" s="2121"/>
    </row>
    <row r="914" spans="6:10">
      <c r="F914" s="2168"/>
      <c r="G914" s="2168"/>
      <c r="H914" s="2168"/>
      <c r="I914" s="2168"/>
      <c r="J914" s="2121"/>
    </row>
    <row r="915" spans="6:10">
      <c r="F915" s="2168"/>
      <c r="G915" s="2168"/>
      <c r="H915" s="2168"/>
      <c r="I915" s="2168"/>
      <c r="J915" s="2121"/>
    </row>
    <row r="916" spans="6:10">
      <c r="F916" s="2168"/>
      <c r="G916" s="2168"/>
      <c r="H916" s="2168"/>
      <c r="I916" s="2168"/>
      <c r="J916" s="2121"/>
    </row>
    <row r="917" spans="6:10">
      <c r="F917" s="2168"/>
      <c r="G917" s="2168"/>
      <c r="H917" s="2168"/>
      <c r="I917" s="2168"/>
      <c r="J917" s="2121"/>
    </row>
    <row r="918" spans="6:10">
      <c r="F918" s="2168"/>
      <c r="G918" s="2168"/>
      <c r="H918" s="2168"/>
      <c r="I918" s="2168"/>
      <c r="J918" s="2121"/>
    </row>
    <row r="919" spans="6:10">
      <c r="F919" s="2168"/>
      <c r="G919" s="2168"/>
      <c r="H919" s="2168"/>
      <c r="I919" s="2168"/>
      <c r="J919" s="2121"/>
    </row>
    <row r="920" spans="6:10">
      <c r="F920" s="2168"/>
      <c r="G920" s="2168"/>
      <c r="H920" s="2168"/>
      <c r="I920" s="2168"/>
      <c r="J920" s="2121"/>
    </row>
    <row r="921" spans="6:10">
      <c r="F921" s="2168"/>
      <c r="G921" s="2168"/>
      <c r="H921" s="2168"/>
      <c r="I921" s="2168"/>
      <c r="J921" s="2121"/>
    </row>
    <row r="922" spans="6:10">
      <c r="F922" s="2168"/>
      <c r="G922" s="2168"/>
      <c r="H922" s="2168"/>
      <c r="I922" s="2168"/>
      <c r="J922" s="2121"/>
    </row>
    <row r="923" spans="6:10">
      <c r="F923" s="2168"/>
      <c r="G923" s="2168"/>
      <c r="H923" s="2168"/>
      <c r="I923" s="2168"/>
      <c r="J923" s="2121"/>
    </row>
    <row r="924" spans="6:10">
      <c r="F924" s="2168"/>
      <c r="G924" s="2168"/>
      <c r="H924" s="2168"/>
      <c r="I924" s="2168"/>
      <c r="J924" s="2121"/>
    </row>
    <row r="925" spans="6:10">
      <c r="F925" s="2168"/>
      <c r="G925" s="2168"/>
      <c r="H925" s="2168"/>
      <c r="I925" s="2168"/>
      <c r="J925" s="2121"/>
    </row>
    <row r="926" spans="6:10">
      <c r="F926" s="2168"/>
      <c r="G926" s="2168"/>
      <c r="H926" s="2168"/>
      <c r="I926" s="2168"/>
      <c r="J926" s="2121"/>
    </row>
    <row r="927" spans="6:10">
      <c r="F927" s="2168"/>
      <c r="G927" s="2168"/>
      <c r="H927" s="2168"/>
      <c r="I927" s="2168"/>
      <c r="J927" s="2121"/>
    </row>
    <row r="928" spans="6:10">
      <c r="F928" s="2168"/>
      <c r="G928" s="2168"/>
      <c r="H928" s="2168"/>
      <c r="I928" s="2168"/>
      <c r="J928" s="2121"/>
    </row>
    <row r="929" spans="6:10">
      <c r="F929" s="2168"/>
      <c r="G929" s="2168"/>
      <c r="H929" s="2168"/>
      <c r="I929" s="2168"/>
      <c r="J929" s="2121"/>
    </row>
    <row r="930" spans="6:10">
      <c r="F930" s="2168"/>
      <c r="G930" s="2168"/>
      <c r="H930" s="2168"/>
      <c r="I930" s="2168"/>
      <c r="J930" s="2121"/>
    </row>
    <row r="931" spans="6:10">
      <c r="F931" s="2168"/>
      <c r="G931" s="2168"/>
      <c r="H931" s="2168"/>
      <c r="I931" s="2168"/>
      <c r="J931" s="2121"/>
    </row>
    <row r="932" spans="6:10">
      <c r="F932" s="2168"/>
      <c r="G932" s="2168"/>
      <c r="H932" s="2168"/>
      <c r="I932" s="2168"/>
      <c r="J932" s="2121"/>
    </row>
    <row r="933" spans="6:10">
      <c r="F933" s="2168"/>
      <c r="G933" s="2168"/>
      <c r="H933" s="2168"/>
      <c r="I933" s="2168"/>
      <c r="J933" s="2121"/>
    </row>
    <row r="934" spans="6:10">
      <c r="F934" s="2168"/>
      <c r="G934" s="2168"/>
      <c r="H934" s="2168"/>
      <c r="I934" s="2168"/>
      <c r="J934" s="2121"/>
    </row>
    <row r="935" spans="6:10">
      <c r="F935" s="2168"/>
      <c r="G935" s="2168"/>
      <c r="H935" s="2168"/>
      <c r="I935" s="2168"/>
      <c r="J935" s="2121"/>
    </row>
    <row r="936" spans="6:10">
      <c r="F936" s="2168"/>
      <c r="G936" s="2168"/>
      <c r="H936" s="2168"/>
      <c r="I936" s="2168"/>
      <c r="J936" s="2121"/>
    </row>
    <row r="937" spans="6:10">
      <c r="F937" s="2168"/>
      <c r="G937" s="2168"/>
      <c r="H937" s="2168"/>
      <c r="I937" s="2168"/>
      <c r="J937" s="2121"/>
    </row>
    <row r="938" spans="6:10">
      <c r="F938" s="2168"/>
      <c r="G938" s="2168"/>
      <c r="H938" s="2168"/>
      <c r="I938" s="2168"/>
      <c r="J938" s="2121"/>
    </row>
    <row r="939" spans="6:10">
      <c r="F939" s="2168"/>
      <c r="G939" s="2168"/>
      <c r="H939" s="2168"/>
      <c r="I939" s="2168"/>
      <c r="J939" s="2121"/>
    </row>
    <row r="940" spans="6:10">
      <c r="F940" s="2168"/>
      <c r="G940" s="2168"/>
      <c r="H940" s="2168"/>
      <c r="I940" s="2168"/>
      <c r="J940" s="2121"/>
    </row>
    <row r="941" spans="6:10">
      <c r="F941" s="2168"/>
      <c r="G941" s="2168"/>
      <c r="H941" s="2168"/>
      <c r="I941" s="2168"/>
      <c r="J941" s="2121"/>
    </row>
    <row r="942" spans="6:10">
      <c r="F942" s="2168"/>
      <c r="G942" s="2168"/>
      <c r="H942" s="2168"/>
      <c r="I942" s="2168"/>
      <c r="J942" s="2121"/>
    </row>
    <row r="943" spans="6:10">
      <c r="F943" s="2168"/>
      <c r="G943" s="2168"/>
      <c r="H943" s="2168"/>
      <c r="I943" s="2168"/>
      <c r="J943" s="2121"/>
    </row>
    <row r="944" spans="6:10">
      <c r="F944" s="2168"/>
      <c r="G944" s="2168"/>
      <c r="H944" s="2168"/>
      <c r="I944" s="2168"/>
      <c r="J944" s="2121"/>
    </row>
    <row r="945" spans="6:10">
      <c r="F945" s="2168"/>
      <c r="G945" s="2168"/>
      <c r="H945" s="2168"/>
      <c r="I945" s="2168"/>
      <c r="J945" s="2121"/>
    </row>
    <row r="946" spans="6:10">
      <c r="F946" s="2168"/>
      <c r="G946" s="2168"/>
      <c r="H946" s="2168"/>
      <c r="I946" s="2168"/>
      <c r="J946" s="2121"/>
    </row>
    <row r="947" spans="6:10">
      <c r="F947" s="2168"/>
      <c r="G947" s="2168"/>
      <c r="H947" s="2168"/>
      <c r="I947" s="2168"/>
      <c r="J947" s="2121"/>
    </row>
    <row r="948" spans="6:10">
      <c r="F948" s="2168"/>
      <c r="G948" s="2168"/>
      <c r="H948" s="2168"/>
      <c r="I948" s="2168"/>
      <c r="J948" s="2121"/>
    </row>
    <row r="949" spans="6:10">
      <c r="F949" s="2168"/>
      <c r="G949" s="2168"/>
      <c r="H949" s="2168"/>
      <c r="I949" s="2168"/>
      <c r="J949" s="2121"/>
    </row>
    <row r="950" spans="6:10">
      <c r="F950" s="2168"/>
      <c r="G950" s="2168"/>
      <c r="H950" s="2168"/>
      <c r="I950" s="2168"/>
      <c r="J950" s="2121"/>
    </row>
    <row r="951" spans="6:10">
      <c r="F951" s="2168"/>
      <c r="G951" s="2168"/>
      <c r="H951" s="2168"/>
      <c r="I951" s="2168"/>
      <c r="J951" s="2121"/>
    </row>
    <row r="952" spans="6:10">
      <c r="F952" s="2168"/>
      <c r="G952" s="2168"/>
      <c r="H952" s="2168"/>
      <c r="I952" s="2168"/>
      <c r="J952" s="2121"/>
    </row>
    <row r="953" spans="6:10">
      <c r="F953" s="2168"/>
      <c r="G953" s="2168"/>
      <c r="H953" s="2168"/>
      <c r="I953" s="2168"/>
      <c r="J953" s="2121"/>
    </row>
    <row r="954" spans="6:10">
      <c r="F954" s="2168"/>
      <c r="G954" s="2168"/>
      <c r="H954" s="2168"/>
      <c r="I954" s="2168"/>
      <c r="J954" s="2121"/>
    </row>
    <row r="955" spans="6:10">
      <c r="F955" s="2168"/>
      <c r="G955" s="2168"/>
      <c r="H955" s="2168"/>
      <c r="I955" s="2168"/>
      <c r="J955" s="2121"/>
    </row>
    <row r="956" spans="6:10">
      <c r="F956" s="2168"/>
      <c r="G956" s="2168"/>
      <c r="H956" s="2168"/>
      <c r="I956" s="2168"/>
      <c r="J956" s="2121"/>
    </row>
    <row r="957" spans="6:10">
      <c r="F957" s="2168"/>
      <c r="G957" s="2168"/>
      <c r="H957" s="2168"/>
      <c r="I957" s="2168"/>
      <c r="J957" s="2121"/>
    </row>
    <row r="958" spans="6:10">
      <c r="F958" s="2168"/>
      <c r="G958" s="2168"/>
      <c r="H958" s="2168"/>
      <c r="I958" s="2168"/>
      <c r="J958" s="2121"/>
    </row>
    <row r="959" spans="6:10">
      <c r="F959" s="2168"/>
      <c r="G959" s="2168"/>
      <c r="H959" s="2168"/>
      <c r="I959" s="2168"/>
      <c r="J959" s="2121"/>
    </row>
    <row r="960" spans="6:10">
      <c r="F960" s="2168"/>
      <c r="G960" s="2168"/>
      <c r="H960" s="2168"/>
      <c r="I960" s="2168"/>
      <c r="J960" s="2121"/>
    </row>
    <row r="961" spans="6:10">
      <c r="F961" s="2168"/>
      <c r="G961" s="2168"/>
      <c r="H961" s="2168"/>
      <c r="I961" s="2168"/>
      <c r="J961" s="2121"/>
    </row>
    <row r="962" spans="6:10">
      <c r="F962" s="2168"/>
      <c r="G962" s="2168"/>
      <c r="H962" s="2168"/>
      <c r="I962" s="2168"/>
      <c r="J962" s="2121"/>
    </row>
    <row r="963" spans="6:10">
      <c r="F963" s="2168"/>
      <c r="G963" s="2168"/>
      <c r="H963" s="2168"/>
      <c r="I963" s="2168"/>
      <c r="J963" s="2121"/>
    </row>
    <row r="964" spans="6:10">
      <c r="F964" s="2168"/>
      <c r="G964" s="2168"/>
      <c r="H964" s="2168"/>
      <c r="I964" s="2168"/>
      <c r="J964" s="2121"/>
    </row>
    <row r="965" spans="6:10">
      <c r="F965" s="2168"/>
      <c r="G965" s="2168"/>
      <c r="H965" s="2168"/>
      <c r="I965" s="2168"/>
      <c r="J965" s="2121"/>
    </row>
    <row r="966" spans="6:10">
      <c r="F966" s="2168"/>
      <c r="G966" s="2168"/>
      <c r="H966" s="2168"/>
      <c r="I966" s="2168"/>
      <c r="J966" s="2121"/>
    </row>
    <row r="967" spans="6:10">
      <c r="F967" s="2168"/>
      <c r="G967" s="2168"/>
      <c r="H967" s="2168"/>
      <c r="I967" s="2168"/>
      <c r="J967" s="2121"/>
    </row>
    <row r="968" spans="6:10">
      <c r="F968" s="2168"/>
      <c r="G968" s="2168"/>
      <c r="H968" s="2168"/>
      <c r="I968" s="2168"/>
      <c r="J968" s="2121"/>
    </row>
    <row r="969" spans="6:10">
      <c r="F969" s="2168"/>
      <c r="G969" s="2168"/>
      <c r="H969" s="2168"/>
      <c r="I969" s="2168"/>
      <c r="J969" s="2121"/>
    </row>
    <row r="970" spans="6:10">
      <c r="F970" s="2168"/>
      <c r="G970" s="2168"/>
      <c r="H970" s="2168"/>
      <c r="I970" s="2168"/>
      <c r="J970" s="2121"/>
    </row>
    <row r="971" spans="6:10">
      <c r="F971" s="2168"/>
      <c r="G971" s="2168"/>
      <c r="H971" s="2168"/>
      <c r="I971" s="2168"/>
      <c r="J971" s="2121"/>
    </row>
    <row r="972" spans="6:10">
      <c r="F972" s="2168"/>
      <c r="G972" s="2168"/>
      <c r="H972" s="2168"/>
      <c r="I972" s="2168"/>
      <c r="J972" s="2121"/>
    </row>
    <row r="973" spans="6:10">
      <c r="F973" s="2168"/>
      <c r="G973" s="2168"/>
      <c r="H973" s="2168"/>
      <c r="I973" s="2168"/>
      <c r="J973" s="2121"/>
    </row>
    <row r="974" spans="6:10">
      <c r="F974" s="2168"/>
      <c r="G974" s="2168"/>
      <c r="H974" s="2168"/>
      <c r="I974" s="2168"/>
      <c r="J974" s="2121"/>
    </row>
    <row r="975" spans="6:10">
      <c r="F975" s="2168"/>
      <c r="G975" s="2168"/>
      <c r="H975" s="2168"/>
      <c r="I975" s="2168"/>
      <c r="J975" s="2121"/>
    </row>
    <row r="976" spans="6:10">
      <c r="F976" s="2168"/>
      <c r="G976" s="2168"/>
      <c r="H976" s="2168"/>
      <c r="I976" s="2168"/>
      <c r="J976" s="2121"/>
    </row>
    <row r="977" spans="6:10">
      <c r="F977" s="2168"/>
      <c r="G977" s="2168"/>
      <c r="H977" s="2168"/>
      <c r="I977" s="2168"/>
      <c r="J977" s="2121"/>
    </row>
    <row r="978" spans="6:10">
      <c r="F978" s="2168"/>
      <c r="G978" s="2168"/>
      <c r="H978" s="2168"/>
      <c r="I978" s="2168"/>
      <c r="J978" s="2121"/>
    </row>
    <row r="979" spans="6:10">
      <c r="F979" s="2168"/>
      <c r="G979" s="2168"/>
      <c r="H979" s="2168"/>
      <c r="I979" s="2168"/>
      <c r="J979" s="2121"/>
    </row>
    <row r="980" spans="6:10">
      <c r="F980" s="2168"/>
      <c r="G980" s="2168"/>
      <c r="H980" s="2168"/>
      <c r="I980" s="2168"/>
      <c r="J980" s="2121"/>
    </row>
    <row r="981" spans="6:10">
      <c r="F981" s="2168"/>
      <c r="G981" s="2168"/>
      <c r="H981" s="2168"/>
      <c r="I981" s="2168"/>
      <c r="J981" s="2121"/>
    </row>
    <row r="982" spans="6:10">
      <c r="F982" s="2168"/>
      <c r="G982" s="2168"/>
      <c r="H982" s="2168"/>
      <c r="I982" s="2168"/>
      <c r="J982" s="2121"/>
    </row>
    <row r="983" spans="6:10">
      <c r="F983" s="2168"/>
      <c r="G983" s="2168"/>
      <c r="H983" s="2168"/>
      <c r="I983" s="2168"/>
      <c r="J983" s="2121"/>
    </row>
    <row r="984" spans="6:10">
      <c r="F984" s="2168"/>
      <c r="G984" s="2168"/>
      <c r="H984" s="2168"/>
      <c r="I984" s="2168"/>
      <c r="J984" s="2121"/>
    </row>
    <row r="985" spans="6:10">
      <c r="F985" s="2168"/>
      <c r="G985" s="2168"/>
      <c r="H985" s="2168"/>
      <c r="I985" s="2168"/>
      <c r="J985" s="2121"/>
    </row>
    <row r="986" spans="6:10">
      <c r="F986" s="2168"/>
      <c r="G986" s="2168"/>
      <c r="H986" s="2168"/>
      <c r="I986" s="2168"/>
      <c r="J986" s="2121"/>
    </row>
    <row r="987" spans="6:10">
      <c r="F987" s="2168"/>
      <c r="G987" s="2168"/>
      <c r="H987" s="2168"/>
      <c r="I987" s="2168"/>
      <c r="J987" s="2121"/>
    </row>
    <row r="988" spans="6:10">
      <c r="F988" s="2168"/>
      <c r="G988" s="2168"/>
      <c r="H988" s="2168"/>
      <c r="I988" s="2168"/>
      <c r="J988" s="2121"/>
    </row>
    <row r="989" spans="6:10">
      <c r="F989" s="2168"/>
      <c r="G989" s="2168"/>
      <c r="H989" s="2168"/>
      <c r="I989" s="2168"/>
      <c r="J989" s="2121"/>
    </row>
    <row r="990" spans="6:10">
      <c r="F990" s="2168"/>
      <c r="G990" s="2168"/>
      <c r="H990" s="2168"/>
      <c r="I990" s="2168"/>
      <c r="J990" s="2121"/>
    </row>
    <row r="991" spans="6:10">
      <c r="F991" s="2168"/>
      <c r="G991" s="2168"/>
      <c r="H991" s="2168"/>
      <c r="I991" s="2168"/>
      <c r="J991" s="2121"/>
    </row>
    <row r="992" spans="6:10">
      <c r="F992" s="2168"/>
      <c r="G992" s="2168"/>
      <c r="H992" s="2168"/>
      <c r="I992" s="2168"/>
      <c r="J992" s="2121"/>
    </row>
    <row r="993" spans="6:10">
      <c r="F993" s="2168"/>
      <c r="G993" s="2168"/>
      <c r="H993" s="2168"/>
      <c r="I993" s="2168"/>
      <c r="J993" s="2121"/>
    </row>
    <row r="994" spans="6:10">
      <c r="F994" s="2168"/>
      <c r="G994" s="2168"/>
      <c r="H994" s="2168"/>
      <c r="I994" s="2168"/>
      <c r="J994" s="2121"/>
    </row>
    <row r="995" spans="6:10">
      <c r="F995" s="2168"/>
      <c r="G995" s="2168"/>
      <c r="H995" s="2168"/>
      <c r="I995" s="2168"/>
      <c r="J995" s="2121"/>
    </row>
    <row r="996" spans="6:10">
      <c r="F996" s="2168"/>
      <c r="G996" s="2168"/>
      <c r="H996" s="2168"/>
      <c r="I996" s="2168"/>
      <c r="J996" s="2121"/>
    </row>
    <row r="997" spans="6:10">
      <c r="F997" s="2168"/>
      <c r="G997" s="2168"/>
      <c r="H997" s="2168"/>
      <c r="I997" s="2168"/>
      <c r="J997" s="2121"/>
    </row>
    <row r="998" spans="6:10">
      <c r="F998" s="2168"/>
      <c r="G998" s="2168"/>
      <c r="H998" s="2168"/>
      <c r="I998" s="2168"/>
      <c r="J998" s="2121"/>
    </row>
    <row r="999" spans="6:10">
      <c r="F999" s="2168"/>
      <c r="G999" s="2168"/>
      <c r="H999" s="2168"/>
      <c r="I999" s="2168"/>
      <c r="J999" s="2121"/>
    </row>
    <row r="1000" spans="6:10">
      <c r="F1000" s="2168"/>
      <c r="G1000" s="2168"/>
      <c r="H1000" s="2168"/>
      <c r="I1000" s="2168"/>
      <c r="J1000" s="2121"/>
    </row>
    <row r="1001" spans="6:10">
      <c r="F1001" s="2168"/>
      <c r="G1001" s="2168"/>
      <c r="H1001" s="2168"/>
      <c r="I1001" s="2168"/>
      <c r="J1001" s="2121"/>
    </row>
    <row r="1002" spans="6:10">
      <c r="F1002" s="2168"/>
      <c r="G1002" s="2168"/>
      <c r="H1002" s="2168"/>
      <c r="I1002" s="2168"/>
      <c r="J1002" s="2121"/>
    </row>
    <row r="1003" spans="6:10">
      <c r="F1003" s="2168"/>
      <c r="G1003" s="2168"/>
      <c r="H1003" s="2168"/>
      <c r="I1003" s="2168"/>
      <c r="J1003" s="2121"/>
    </row>
    <row r="1004" spans="6:10">
      <c r="F1004" s="2168"/>
      <c r="G1004" s="2168"/>
      <c r="H1004" s="2168"/>
      <c r="I1004" s="2168"/>
      <c r="J1004" s="2121"/>
    </row>
    <row r="1005" spans="6:10">
      <c r="F1005" s="2168"/>
      <c r="G1005" s="2168"/>
      <c r="H1005" s="2168"/>
      <c r="I1005" s="2168"/>
      <c r="J1005" s="2121"/>
    </row>
    <row r="1006" spans="6:10">
      <c r="F1006" s="2168"/>
      <c r="G1006" s="2168"/>
      <c r="H1006" s="2168"/>
      <c r="I1006" s="2168"/>
      <c r="J1006" s="2121"/>
    </row>
    <row r="1007" spans="6:10">
      <c r="F1007" s="2168"/>
      <c r="G1007" s="2168"/>
      <c r="H1007" s="2168"/>
      <c r="I1007" s="2168"/>
      <c r="J1007" s="2121"/>
    </row>
    <row r="1008" spans="6:10">
      <c r="F1008" s="2168"/>
      <c r="G1008" s="2168"/>
      <c r="H1008" s="2168"/>
      <c r="I1008" s="2168"/>
      <c r="J1008" s="2121"/>
    </row>
    <row r="1009" spans="6:10">
      <c r="F1009" s="2168"/>
      <c r="G1009" s="2168"/>
      <c r="H1009" s="2168"/>
      <c r="I1009" s="2168"/>
      <c r="J1009" s="2121"/>
    </row>
    <row r="1010" spans="6:10">
      <c r="F1010" s="2168"/>
      <c r="G1010" s="2168"/>
      <c r="H1010" s="2168"/>
      <c r="I1010" s="2168"/>
      <c r="J1010" s="2121"/>
    </row>
    <row r="1011" spans="6:10">
      <c r="F1011" s="2168"/>
      <c r="G1011" s="2168"/>
      <c r="H1011" s="2168"/>
      <c r="I1011" s="2168"/>
      <c r="J1011" s="2121"/>
    </row>
    <row r="1012" spans="6:10">
      <c r="F1012" s="2168"/>
      <c r="G1012" s="2168"/>
      <c r="H1012" s="2168"/>
      <c r="I1012" s="2168"/>
      <c r="J1012" s="2121"/>
    </row>
    <row r="1013" spans="6:10">
      <c r="F1013" s="2168"/>
      <c r="G1013" s="2168"/>
      <c r="H1013" s="2168"/>
      <c r="I1013" s="2168"/>
      <c r="J1013" s="2121"/>
    </row>
    <row r="1014" spans="6:10">
      <c r="F1014" s="2168"/>
      <c r="G1014" s="2168"/>
      <c r="H1014" s="2168"/>
      <c r="I1014" s="2168"/>
      <c r="J1014" s="2121"/>
    </row>
    <row r="1015" spans="6:10">
      <c r="F1015" s="2168"/>
      <c r="G1015" s="2168"/>
      <c r="H1015" s="2168"/>
      <c r="I1015" s="2168"/>
      <c r="J1015" s="2121"/>
    </row>
    <row r="1016" spans="6:10">
      <c r="F1016" s="2168"/>
      <c r="G1016" s="2168"/>
      <c r="H1016" s="2168"/>
      <c r="I1016" s="2168"/>
      <c r="J1016" s="2121"/>
    </row>
    <row r="1017" spans="6:10">
      <c r="F1017" s="2168"/>
      <c r="G1017" s="2168"/>
      <c r="H1017" s="2168"/>
      <c r="I1017" s="2168"/>
      <c r="J1017" s="2121"/>
    </row>
    <row r="1018" spans="6:10">
      <c r="F1018" s="2168"/>
      <c r="G1018" s="2168"/>
      <c r="H1018" s="2168"/>
      <c r="I1018" s="2168"/>
      <c r="J1018" s="2121"/>
    </row>
    <row r="1019" spans="6:10">
      <c r="F1019" s="2168"/>
      <c r="G1019" s="2168"/>
      <c r="H1019" s="2168"/>
      <c r="I1019" s="2168"/>
      <c r="J1019" s="2121"/>
    </row>
    <row r="1020" spans="6:10">
      <c r="F1020" s="2168"/>
      <c r="G1020" s="2168"/>
      <c r="H1020" s="2168"/>
      <c r="I1020" s="2168"/>
      <c r="J1020" s="2121"/>
    </row>
    <row r="1021" spans="6:10">
      <c r="F1021" s="2168"/>
      <c r="G1021" s="2168"/>
      <c r="H1021" s="2168"/>
      <c r="I1021" s="2168"/>
      <c r="J1021" s="2121"/>
    </row>
    <row r="1022" spans="6:10">
      <c r="F1022" s="2168"/>
      <c r="G1022" s="2168"/>
      <c r="H1022" s="2168"/>
      <c r="I1022" s="2168"/>
      <c r="J1022" s="2121"/>
    </row>
    <row r="1023" spans="6:10">
      <c r="F1023" s="2168"/>
      <c r="G1023" s="2168"/>
      <c r="H1023" s="2168"/>
      <c r="I1023" s="2168"/>
      <c r="J1023" s="2121"/>
    </row>
    <row r="1024" spans="6:10">
      <c r="F1024" s="2168"/>
      <c r="G1024" s="2168"/>
      <c r="H1024" s="2168"/>
      <c r="I1024" s="2168"/>
      <c r="J1024" s="2121"/>
    </row>
    <row r="1025" spans="6:10">
      <c r="F1025" s="2168"/>
      <c r="G1025" s="2168"/>
      <c r="H1025" s="2168"/>
      <c r="I1025" s="2168"/>
      <c r="J1025" s="2121"/>
    </row>
    <row r="1026" spans="6:10">
      <c r="F1026" s="2168"/>
      <c r="G1026" s="2168"/>
      <c r="H1026" s="2168"/>
      <c r="I1026" s="2168"/>
      <c r="J1026" s="2121"/>
    </row>
    <row r="1027" spans="6:10">
      <c r="F1027" s="2168"/>
      <c r="G1027" s="2168"/>
      <c r="H1027" s="2168"/>
      <c r="I1027" s="2168"/>
      <c r="J1027" s="2121"/>
    </row>
    <row r="1028" spans="6:10">
      <c r="F1028" s="2168"/>
      <c r="G1028" s="2168"/>
      <c r="H1028" s="2168"/>
      <c r="I1028" s="2168"/>
      <c r="J1028" s="2121"/>
    </row>
    <row r="1029" spans="6:10">
      <c r="F1029" s="2168"/>
      <c r="G1029" s="2168"/>
      <c r="H1029" s="2168"/>
      <c r="I1029" s="2168"/>
      <c r="J1029" s="2121"/>
    </row>
    <row r="1030" spans="6:10">
      <c r="F1030" s="2168"/>
      <c r="G1030" s="2168"/>
      <c r="H1030" s="2168"/>
      <c r="I1030" s="2168"/>
      <c r="J1030" s="2121"/>
    </row>
    <row r="1031" spans="6:10">
      <c r="F1031" s="2168"/>
      <c r="G1031" s="2168"/>
      <c r="H1031" s="2168"/>
      <c r="I1031" s="2168"/>
      <c r="J1031" s="2121"/>
    </row>
    <row r="1032" spans="6:10">
      <c r="F1032" s="2168"/>
      <c r="G1032" s="2168"/>
      <c r="H1032" s="2168"/>
      <c r="I1032" s="2168"/>
      <c r="J1032" s="2121"/>
    </row>
    <row r="1033" spans="6:10">
      <c r="F1033" s="2168"/>
      <c r="G1033" s="2168"/>
      <c r="H1033" s="2168"/>
      <c r="I1033" s="2168"/>
      <c r="J1033" s="2121"/>
    </row>
    <row r="1034" spans="6:10">
      <c r="F1034" s="2168"/>
      <c r="G1034" s="2168"/>
      <c r="H1034" s="2168"/>
      <c r="I1034" s="2168"/>
      <c r="J1034" s="2121"/>
    </row>
    <row r="1035" spans="6:10">
      <c r="F1035" s="2168"/>
      <c r="G1035" s="2168"/>
      <c r="H1035" s="2168"/>
      <c r="I1035" s="2168"/>
      <c r="J1035" s="2121"/>
    </row>
    <row r="1036" spans="6:10">
      <c r="F1036" s="2168"/>
      <c r="G1036" s="2168"/>
      <c r="H1036" s="2168"/>
      <c r="I1036" s="2168"/>
      <c r="J1036" s="2121"/>
    </row>
    <row r="1037" spans="6:10">
      <c r="F1037" s="2168"/>
      <c r="G1037" s="2168"/>
      <c r="H1037" s="2168"/>
      <c r="I1037" s="2168"/>
      <c r="J1037" s="2121"/>
    </row>
    <row r="1038" spans="6:10">
      <c r="F1038" s="2168"/>
      <c r="G1038" s="2168"/>
      <c r="H1038" s="2168"/>
      <c r="I1038" s="2168"/>
      <c r="J1038" s="2121"/>
    </row>
    <row r="1039" spans="6:10">
      <c r="F1039" s="2168"/>
      <c r="G1039" s="2168"/>
      <c r="H1039" s="2168"/>
      <c r="I1039" s="2168"/>
      <c r="J1039" s="2121"/>
    </row>
    <row r="1040" spans="6:10">
      <c r="F1040" s="2168"/>
      <c r="G1040" s="2168"/>
      <c r="H1040" s="2168"/>
      <c r="I1040" s="2168"/>
      <c r="J1040" s="2121"/>
    </row>
    <row r="1041" spans="6:10">
      <c r="F1041" s="2168"/>
      <c r="G1041" s="2168"/>
      <c r="H1041" s="2168"/>
      <c r="I1041" s="2168"/>
      <c r="J1041" s="2121"/>
    </row>
    <row r="1042" spans="6:10">
      <c r="F1042" s="2168"/>
      <c r="G1042" s="2168"/>
      <c r="H1042" s="2168"/>
      <c r="I1042" s="2168"/>
      <c r="J1042" s="2121"/>
    </row>
    <row r="1043" spans="6:10">
      <c r="F1043" s="2168"/>
      <c r="G1043" s="2168"/>
      <c r="H1043" s="2168"/>
      <c r="I1043" s="2168"/>
      <c r="J1043" s="2121"/>
    </row>
    <row r="1044" spans="6:10">
      <c r="F1044" s="2168"/>
      <c r="G1044" s="2168"/>
      <c r="H1044" s="2168"/>
      <c r="I1044" s="2168"/>
      <c r="J1044" s="2121"/>
    </row>
    <row r="1045" spans="6:10">
      <c r="F1045" s="2168"/>
      <c r="G1045" s="2168"/>
      <c r="H1045" s="2168"/>
      <c r="I1045" s="2168"/>
      <c r="J1045" s="2121"/>
    </row>
    <row r="1046" spans="6:10">
      <c r="F1046" s="2168"/>
      <c r="G1046" s="2168"/>
      <c r="H1046" s="2168"/>
      <c r="I1046" s="2168"/>
      <c r="J1046" s="2121"/>
    </row>
    <row r="1047" spans="6:10">
      <c r="F1047" s="2168"/>
      <c r="G1047" s="2168"/>
      <c r="H1047" s="2168"/>
      <c r="I1047" s="2168"/>
      <c r="J1047" s="2121"/>
    </row>
    <row r="1048" spans="6:10">
      <c r="F1048" s="2168"/>
      <c r="G1048" s="2168"/>
      <c r="H1048" s="2168"/>
      <c r="I1048" s="2168"/>
      <c r="J1048" s="2121"/>
    </row>
    <row r="1049" spans="6:10">
      <c r="F1049" s="2168"/>
      <c r="G1049" s="2168"/>
      <c r="H1049" s="2168"/>
      <c r="I1049" s="2168"/>
      <c r="J1049" s="2121"/>
    </row>
    <row r="1050" spans="6:10">
      <c r="F1050" s="2168"/>
      <c r="G1050" s="2168"/>
      <c r="H1050" s="2168"/>
      <c r="I1050" s="2168"/>
      <c r="J1050" s="2121"/>
    </row>
    <row r="1051" spans="6:10">
      <c r="F1051" s="2168"/>
      <c r="G1051" s="2168"/>
      <c r="H1051" s="2168"/>
      <c r="I1051" s="2168"/>
      <c r="J1051" s="2121"/>
    </row>
    <row r="1052" spans="6:10">
      <c r="F1052" s="2168"/>
      <c r="G1052" s="2168"/>
      <c r="H1052" s="2168"/>
      <c r="I1052" s="2168"/>
      <c r="J1052" s="2121"/>
    </row>
    <row r="1053" spans="6:10">
      <c r="F1053" s="2168"/>
      <c r="G1053" s="2168"/>
      <c r="H1053" s="2168"/>
      <c r="I1053" s="2168"/>
      <c r="J1053" s="2121"/>
    </row>
    <row r="1054" spans="6:10">
      <c r="F1054" s="2168"/>
      <c r="G1054" s="2168"/>
      <c r="H1054" s="2168"/>
      <c r="I1054" s="2168"/>
      <c r="J1054" s="2121"/>
    </row>
    <row r="1055" spans="6:10">
      <c r="F1055" s="2168"/>
      <c r="G1055" s="2168"/>
      <c r="H1055" s="2168"/>
      <c r="I1055" s="2168"/>
      <c r="J1055" s="2121"/>
    </row>
    <row r="1056" spans="6:10">
      <c r="F1056" s="2168"/>
      <c r="G1056" s="2168"/>
      <c r="H1056" s="2168"/>
      <c r="I1056" s="2168"/>
      <c r="J1056" s="2121"/>
    </row>
    <row r="1057" spans="6:10">
      <c r="F1057" s="2168"/>
      <c r="G1057" s="2168"/>
      <c r="H1057" s="2168"/>
      <c r="I1057" s="2168"/>
      <c r="J1057" s="2121"/>
    </row>
    <row r="1058" spans="6:10">
      <c r="F1058" s="2168"/>
      <c r="G1058" s="2168"/>
      <c r="H1058" s="2168"/>
      <c r="I1058" s="2168"/>
      <c r="J1058" s="2121"/>
    </row>
    <row r="1059" spans="6:10">
      <c r="F1059" s="2168"/>
      <c r="G1059" s="2168"/>
      <c r="H1059" s="2168"/>
      <c r="I1059" s="2168"/>
      <c r="J1059" s="2121"/>
    </row>
    <row r="1060" spans="6:10">
      <c r="F1060" s="2168"/>
      <c r="G1060" s="2168"/>
      <c r="H1060" s="2168"/>
      <c r="I1060" s="2168"/>
      <c r="J1060" s="2121"/>
    </row>
    <row r="1061" spans="6:10">
      <c r="F1061" s="2168"/>
      <c r="G1061" s="2168"/>
      <c r="H1061" s="2168"/>
      <c r="I1061" s="2168"/>
      <c r="J1061" s="2121"/>
    </row>
    <row r="1062" spans="6:10">
      <c r="F1062" s="2168"/>
      <c r="G1062" s="2168"/>
      <c r="H1062" s="2168"/>
      <c r="I1062" s="2168"/>
      <c r="J1062" s="2121"/>
    </row>
    <row r="1063" spans="6:10">
      <c r="F1063" s="2168"/>
      <c r="G1063" s="2168"/>
      <c r="H1063" s="2168"/>
      <c r="I1063" s="2168"/>
      <c r="J1063" s="2121"/>
    </row>
    <row r="1064" spans="6:10">
      <c r="F1064" s="2168"/>
      <c r="G1064" s="2168"/>
      <c r="H1064" s="2168"/>
      <c r="I1064" s="2168"/>
      <c r="J1064" s="2121"/>
    </row>
    <row r="1065" spans="6:10">
      <c r="F1065" s="2168"/>
      <c r="G1065" s="2168"/>
      <c r="H1065" s="2168"/>
      <c r="I1065" s="2168"/>
      <c r="J1065" s="2121"/>
    </row>
    <row r="1066" spans="6:10">
      <c r="F1066" s="2168"/>
      <c r="G1066" s="2168"/>
      <c r="H1066" s="2168"/>
      <c r="I1066" s="2168"/>
      <c r="J1066" s="2121"/>
    </row>
    <row r="1067" spans="6:10">
      <c r="F1067" s="2168"/>
      <c r="G1067" s="2168"/>
      <c r="H1067" s="2168"/>
      <c r="I1067" s="2168"/>
      <c r="J1067" s="2121"/>
    </row>
    <row r="1068" spans="6:10">
      <c r="F1068" s="2168"/>
      <c r="G1068" s="2168"/>
      <c r="H1068" s="2168"/>
      <c r="I1068" s="2168"/>
      <c r="J1068" s="2121"/>
    </row>
    <row r="1069" spans="6:10">
      <c r="F1069" s="2168"/>
      <c r="G1069" s="2168"/>
      <c r="H1069" s="2168"/>
      <c r="I1069" s="2168"/>
      <c r="J1069" s="2121"/>
    </row>
    <row r="1070" spans="6:10">
      <c r="F1070" s="2168"/>
      <c r="G1070" s="2168"/>
      <c r="H1070" s="2168"/>
      <c r="I1070" s="2168"/>
      <c r="J1070" s="2121"/>
    </row>
    <row r="1071" spans="6:10">
      <c r="F1071" s="2168"/>
      <c r="G1071" s="2168"/>
      <c r="H1071" s="2168"/>
      <c r="I1071" s="2168"/>
      <c r="J1071" s="2121"/>
    </row>
    <row r="1072" spans="6:10">
      <c r="F1072" s="2168"/>
      <c r="G1072" s="2168"/>
      <c r="H1072" s="2168"/>
      <c r="I1072" s="2168"/>
      <c r="J1072" s="2121"/>
    </row>
    <row r="1073" spans="6:10">
      <c r="F1073" s="2168"/>
      <c r="G1073" s="2168"/>
      <c r="H1073" s="2168"/>
      <c r="I1073" s="2168"/>
      <c r="J1073" s="2121"/>
    </row>
    <row r="1074" spans="6:10">
      <c r="F1074" s="2168"/>
      <c r="G1074" s="2168"/>
      <c r="H1074" s="2168"/>
      <c r="I1074" s="2168"/>
      <c r="J1074" s="2121"/>
    </row>
    <row r="1075" spans="6:10">
      <c r="F1075" s="2168"/>
      <c r="G1075" s="2168"/>
      <c r="H1075" s="2168"/>
      <c r="I1075" s="2168"/>
      <c r="J1075" s="2121"/>
    </row>
    <row r="1076" spans="6:10">
      <c r="F1076" s="2168"/>
      <c r="G1076" s="2168"/>
      <c r="H1076" s="2168"/>
      <c r="I1076" s="2168"/>
      <c r="J1076" s="2121"/>
    </row>
    <row r="1077" spans="6:10">
      <c r="F1077" s="2168"/>
      <c r="G1077" s="2168"/>
      <c r="H1077" s="2168"/>
      <c r="I1077" s="2168"/>
      <c r="J1077" s="2121"/>
    </row>
    <row r="1078" spans="6:10">
      <c r="F1078" s="2168"/>
      <c r="G1078" s="2168"/>
      <c r="H1078" s="2168"/>
      <c r="I1078" s="2168"/>
      <c r="J1078" s="2121"/>
    </row>
    <row r="1079" spans="6:10">
      <c r="F1079" s="2168"/>
      <c r="G1079" s="2168"/>
      <c r="H1079" s="2168"/>
      <c r="I1079" s="2168"/>
      <c r="J1079" s="2121"/>
    </row>
    <row r="1080" spans="6:10">
      <c r="F1080" s="2168"/>
      <c r="G1080" s="2168"/>
      <c r="H1080" s="2168"/>
      <c r="I1080" s="2168"/>
      <c r="J1080" s="2121"/>
    </row>
    <row r="1081" spans="6:10">
      <c r="F1081" s="2168"/>
      <c r="G1081" s="2168"/>
      <c r="H1081" s="2168"/>
      <c r="I1081" s="2168"/>
      <c r="J1081" s="2121"/>
    </row>
    <row r="1082" spans="6:10">
      <c r="F1082" s="2168"/>
      <c r="G1082" s="2168"/>
      <c r="H1082" s="2168"/>
      <c r="I1082" s="2168"/>
      <c r="J1082" s="2121"/>
    </row>
    <row r="1083" spans="6:10">
      <c r="F1083" s="2168"/>
      <c r="G1083" s="2168"/>
      <c r="H1083" s="2168"/>
      <c r="I1083" s="2168"/>
      <c r="J1083" s="2121"/>
    </row>
    <row r="1084" spans="6:10">
      <c r="F1084" s="2168"/>
      <c r="G1084" s="2168"/>
      <c r="H1084" s="2168"/>
      <c r="I1084" s="2168"/>
      <c r="J1084" s="2121"/>
    </row>
    <row r="1085" spans="6:10">
      <c r="F1085" s="2168"/>
      <c r="G1085" s="2168"/>
      <c r="H1085" s="2168"/>
      <c r="I1085" s="2168"/>
      <c r="J1085" s="2121"/>
    </row>
    <row r="1086" spans="6:10">
      <c r="F1086" s="2168"/>
      <c r="G1086" s="2168"/>
      <c r="H1086" s="2168"/>
      <c r="I1086" s="2168"/>
      <c r="J1086" s="2121"/>
    </row>
    <row r="1087" spans="6:10">
      <c r="F1087" s="2168"/>
      <c r="G1087" s="2168"/>
      <c r="H1087" s="2168"/>
      <c r="I1087" s="2168"/>
      <c r="J1087" s="2121"/>
    </row>
    <row r="1088" spans="6:10">
      <c r="F1088" s="2168"/>
      <c r="G1088" s="2168"/>
      <c r="H1088" s="2168"/>
      <c r="I1088" s="2168"/>
      <c r="J1088" s="2121"/>
    </row>
    <row r="1089" spans="6:10">
      <c r="F1089" s="2168"/>
      <c r="G1089" s="2168"/>
      <c r="H1089" s="2168"/>
      <c r="I1089" s="2168"/>
      <c r="J1089" s="2121"/>
    </row>
    <row r="1090" spans="6:10">
      <c r="F1090" s="2168"/>
      <c r="G1090" s="2168"/>
      <c r="H1090" s="2168"/>
      <c r="I1090" s="2168"/>
      <c r="J1090" s="2121"/>
    </row>
    <row r="1091" spans="6:10">
      <c r="F1091" s="2168"/>
      <c r="G1091" s="2168"/>
      <c r="H1091" s="2168"/>
      <c r="I1091" s="2168"/>
      <c r="J1091" s="2121"/>
    </row>
    <row r="1092" spans="6:10">
      <c r="F1092" s="2168"/>
      <c r="G1092" s="2168"/>
      <c r="H1092" s="2168"/>
      <c r="I1092" s="2168"/>
      <c r="J1092" s="2121"/>
    </row>
    <row r="1093" spans="6:10">
      <c r="F1093" s="2168"/>
      <c r="G1093" s="2168"/>
      <c r="H1093" s="2168"/>
      <c r="I1093" s="2168"/>
      <c r="J1093" s="2121"/>
    </row>
    <row r="1094" spans="6:10">
      <c r="F1094" s="2168"/>
      <c r="G1094" s="2168"/>
      <c r="H1094" s="2168"/>
      <c r="I1094" s="2168"/>
      <c r="J1094" s="2121"/>
    </row>
    <row r="1095" spans="6:10">
      <c r="F1095" s="2168"/>
      <c r="G1095" s="2168"/>
      <c r="H1095" s="2168"/>
      <c r="I1095" s="2168"/>
      <c r="J1095" s="2121"/>
    </row>
    <row r="1096" spans="6:10">
      <c r="F1096" s="2168"/>
      <c r="G1096" s="2168"/>
      <c r="H1096" s="2168"/>
      <c r="I1096" s="2168"/>
      <c r="J1096" s="2121"/>
    </row>
    <row r="1097" spans="6:10">
      <c r="F1097" s="2168"/>
      <c r="G1097" s="2168"/>
      <c r="H1097" s="2168"/>
      <c r="I1097" s="2168"/>
      <c r="J1097" s="2121"/>
    </row>
    <row r="1098" spans="6:10">
      <c r="F1098" s="2168"/>
      <c r="G1098" s="2168"/>
      <c r="H1098" s="2168"/>
      <c r="I1098" s="2168"/>
      <c r="J1098" s="2121"/>
    </row>
    <row r="1099" spans="6:10">
      <c r="F1099" s="2168"/>
      <c r="G1099" s="2168"/>
      <c r="H1099" s="2168"/>
      <c r="I1099" s="2168"/>
      <c r="J1099" s="2121"/>
    </row>
    <row r="1100" spans="6:10">
      <c r="F1100" s="2168"/>
      <c r="G1100" s="2168"/>
      <c r="H1100" s="2168"/>
      <c r="I1100" s="2168"/>
      <c r="J1100" s="2121"/>
    </row>
    <row r="1101" spans="6:10">
      <c r="F1101" s="2168"/>
      <c r="G1101" s="2168"/>
      <c r="H1101" s="2168"/>
      <c r="I1101" s="2168"/>
      <c r="J1101" s="2121"/>
    </row>
    <row r="1102" spans="6:10">
      <c r="F1102" s="2168"/>
      <c r="G1102" s="2168"/>
      <c r="H1102" s="2168"/>
      <c r="I1102" s="2168"/>
      <c r="J1102" s="2121"/>
    </row>
    <row r="1103" spans="6:10">
      <c r="F1103" s="2168"/>
      <c r="G1103" s="2168"/>
      <c r="H1103" s="2168"/>
      <c r="I1103" s="2168"/>
      <c r="J1103" s="2121"/>
    </row>
    <row r="1104" spans="6:10">
      <c r="F1104" s="2168"/>
      <c r="G1104" s="2168"/>
      <c r="H1104" s="2168"/>
      <c r="I1104" s="2168"/>
      <c r="J1104" s="2121"/>
    </row>
    <row r="1105" spans="6:10">
      <c r="F1105" s="2168"/>
      <c r="G1105" s="2168"/>
      <c r="H1105" s="2168"/>
      <c r="I1105" s="2168"/>
      <c r="J1105" s="2121"/>
    </row>
    <row r="1106" spans="6:10">
      <c r="F1106" s="2168"/>
      <c r="G1106" s="2168"/>
      <c r="H1106" s="2168"/>
      <c r="I1106" s="2168"/>
      <c r="J1106" s="2121"/>
    </row>
    <row r="1107" spans="6:10">
      <c r="F1107" s="2168"/>
      <c r="G1107" s="2168"/>
      <c r="H1107" s="2168"/>
      <c r="I1107" s="2168"/>
      <c r="J1107" s="2121"/>
    </row>
    <row r="1108" spans="6:10">
      <c r="F1108" s="2168"/>
      <c r="G1108" s="2168"/>
      <c r="H1108" s="2168"/>
      <c r="I1108" s="2168"/>
      <c r="J1108" s="2121"/>
    </row>
    <row r="1109" spans="6:10">
      <c r="F1109" s="2168"/>
      <c r="G1109" s="2168"/>
      <c r="H1109" s="2168"/>
      <c r="I1109" s="2168"/>
      <c r="J1109" s="2121"/>
    </row>
    <row r="1110" spans="6:10">
      <c r="F1110" s="2168"/>
      <c r="G1110" s="2168"/>
      <c r="H1110" s="2168"/>
      <c r="I1110" s="2168"/>
      <c r="J1110" s="2121"/>
    </row>
    <row r="1111" spans="6:10">
      <c r="F1111" s="2168"/>
      <c r="G1111" s="2168"/>
      <c r="H1111" s="2168"/>
      <c r="I1111" s="2168"/>
      <c r="J1111" s="2121"/>
    </row>
    <row r="1112" spans="6:10">
      <c r="F1112" s="2168"/>
      <c r="G1112" s="2168"/>
      <c r="H1112" s="2168"/>
      <c r="I1112" s="2168"/>
      <c r="J1112" s="2121"/>
    </row>
    <row r="1113" spans="6:10">
      <c r="F1113" s="2168"/>
      <c r="G1113" s="2168"/>
      <c r="H1113" s="2168"/>
      <c r="I1113" s="2168"/>
      <c r="J1113" s="2121"/>
    </row>
    <row r="1114" spans="6:10">
      <c r="F1114" s="2168"/>
      <c r="G1114" s="2168"/>
      <c r="H1114" s="2168"/>
      <c r="I1114" s="2168"/>
      <c r="J1114" s="2121"/>
    </row>
    <row r="1115" spans="6:10">
      <c r="F1115" s="2168"/>
      <c r="G1115" s="2168"/>
      <c r="H1115" s="2168"/>
      <c r="I1115" s="2168"/>
      <c r="J1115" s="2121"/>
    </row>
    <row r="1116" spans="6:10">
      <c r="F1116" s="2168"/>
      <c r="G1116" s="2168"/>
      <c r="H1116" s="2168"/>
      <c r="I1116" s="2168"/>
      <c r="J1116" s="2121"/>
    </row>
    <row r="1117" spans="6:10">
      <c r="F1117" s="2168"/>
      <c r="G1117" s="2168"/>
      <c r="H1117" s="2168"/>
      <c r="I1117" s="2168"/>
      <c r="J1117" s="2121"/>
    </row>
    <row r="1118" spans="6:10">
      <c r="F1118" s="2168"/>
      <c r="G1118" s="2168"/>
      <c r="H1118" s="2168"/>
      <c r="I1118" s="2168"/>
      <c r="J1118" s="2121"/>
    </row>
    <row r="1119" spans="6:10">
      <c r="F1119" s="2168"/>
      <c r="G1119" s="2168"/>
      <c r="H1119" s="2168"/>
      <c r="I1119" s="2168"/>
      <c r="J1119" s="2121"/>
    </row>
    <row r="1120" spans="6:10">
      <c r="F1120" s="2168"/>
      <c r="G1120" s="2168"/>
      <c r="H1120" s="2168"/>
      <c r="I1120" s="2168"/>
      <c r="J1120" s="2121"/>
    </row>
    <row r="1121" spans="6:10">
      <c r="F1121" s="2168"/>
      <c r="G1121" s="2168"/>
      <c r="H1121" s="2168"/>
      <c r="I1121" s="2168"/>
      <c r="J1121" s="2121"/>
    </row>
    <row r="1122" spans="6:10">
      <c r="F1122" s="2168"/>
      <c r="G1122" s="2168"/>
      <c r="H1122" s="2168"/>
      <c r="I1122" s="2168"/>
      <c r="J1122" s="2121"/>
    </row>
    <row r="1123" spans="6:10">
      <c r="F1123" s="2168"/>
      <c r="G1123" s="2168"/>
      <c r="H1123" s="2168"/>
      <c r="I1123" s="2168"/>
      <c r="J1123" s="2121"/>
    </row>
    <row r="1124" spans="6:10">
      <c r="F1124" s="2168"/>
      <c r="G1124" s="2168"/>
      <c r="H1124" s="2168"/>
      <c r="I1124" s="2168"/>
      <c r="J1124" s="2121"/>
    </row>
    <row r="1125" spans="6:10">
      <c r="F1125" s="2168"/>
      <c r="G1125" s="2168"/>
      <c r="H1125" s="2168"/>
      <c r="I1125" s="2168"/>
      <c r="J1125" s="2121"/>
    </row>
    <row r="1126" spans="6:10">
      <c r="F1126" s="2168"/>
      <c r="G1126" s="2168"/>
      <c r="H1126" s="2168"/>
      <c r="I1126" s="2168"/>
      <c r="J1126" s="2121"/>
    </row>
    <row r="1127" spans="6:10">
      <c r="F1127" s="2168"/>
      <c r="G1127" s="2168"/>
      <c r="H1127" s="2168"/>
      <c r="I1127" s="2168"/>
      <c r="J1127" s="2121"/>
    </row>
    <row r="1128" spans="6:10">
      <c r="F1128" s="2168"/>
      <c r="G1128" s="2168"/>
      <c r="H1128" s="2168"/>
      <c r="I1128" s="2168"/>
      <c r="J1128" s="2121"/>
    </row>
    <row r="1129" spans="6:10">
      <c r="F1129" s="2168"/>
      <c r="G1129" s="2168"/>
      <c r="H1129" s="2168"/>
      <c r="I1129" s="2168"/>
      <c r="J1129" s="2121"/>
    </row>
    <row r="1130" spans="6:10">
      <c r="F1130" s="2168"/>
      <c r="G1130" s="2168"/>
      <c r="H1130" s="2168"/>
      <c r="I1130" s="2168"/>
      <c r="J1130" s="2121"/>
    </row>
    <row r="1131" spans="6:10">
      <c r="F1131" s="2168"/>
      <c r="G1131" s="2168"/>
      <c r="H1131" s="2168"/>
      <c r="I1131" s="2168"/>
      <c r="J1131" s="2121"/>
    </row>
    <row r="1132" spans="6:10">
      <c r="F1132" s="2168"/>
      <c r="G1132" s="2168"/>
      <c r="H1132" s="2168"/>
      <c r="I1132" s="2168"/>
      <c r="J1132" s="2121"/>
    </row>
    <row r="1133" spans="6:10">
      <c r="F1133" s="2168"/>
      <c r="G1133" s="2168"/>
      <c r="H1133" s="2168"/>
      <c r="I1133" s="2168"/>
      <c r="J1133" s="2121"/>
    </row>
    <row r="1134" spans="6:10">
      <c r="F1134" s="2168"/>
      <c r="G1134" s="2168"/>
      <c r="H1134" s="2168"/>
      <c r="I1134" s="2168"/>
      <c r="J1134" s="2121"/>
    </row>
    <row r="1135" spans="6:10">
      <c r="F1135" s="2168"/>
      <c r="G1135" s="2168"/>
      <c r="H1135" s="2168"/>
      <c r="I1135" s="2168"/>
      <c r="J1135" s="2121"/>
    </row>
    <row r="1136" spans="6:10">
      <c r="F1136" s="2168"/>
      <c r="G1136" s="2168"/>
      <c r="H1136" s="2168"/>
      <c r="I1136" s="2168"/>
      <c r="J1136" s="2121"/>
    </row>
    <row r="1137" spans="6:10">
      <c r="F1137" s="2168"/>
      <c r="G1137" s="2168"/>
      <c r="H1137" s="2168"/>
      <c r="I1137" s="2168"/>
      <c r="J1137" s="2121"/>
    </row>
    <row r="1138" spans="6:10">
      <c r="F1138" s="2168"/>
      <c r="G1138" s="2168"/>
      <c r="H1138" s="2168"/>
      <c r="I1138" s="2168"/>
      <c r="J1138" s="2121"/>
    </row>
    <row r="1139" spans="6:10">
      <c r="F1139" s="2168"/>
      <c r="G1139" s="2168"/>
      <c r="H1139" s="2168"/>
      <c r="I1139" s="2168"/>
      <c r="J1139" s="2121"/>
    </row>
    <row r="1140" spans="6:10">
      <c r="F1140" s="2168"/>
      <c r="G1140" s="2168"/>
      <c r="H1140" s="2168"/>
      <c r="I1140" s="2168"/>
      <c r="J1140" s="2121"/>
    </row>
    <row r="1141" spans="6:10">
      <c r="F1141" s="2168"/>
      <c r="G1141" s="2168"/>
      <c r="H1141" s="2168"/>
      <c r="I1141" s="2168"/>
      <c r="J1141" s="2121"/>
    </row>
    <row r="1142" spans="6:10">
      <c r="F1142" s="2168"/>
      <c r="G1142" s="2168"/>
      <c r="H1142" s="2168"/>
      <c r="I1142" s="2168"/>
      <c r="J1142" s="2121"/>
    </row>
    <row r="1143" spans="6:10">
      <c r="F1143" s="2168"/>
      <c r="G1143" s="2168"/>
      <c r="H1143" s="2168"/>
      <c r="I1143" s="2168"/>
      <c r="J1143" s="2121"/>
    </row>
    <row r="1144" spans="6:10">
      <c r="F1144" s="2168"/>
      <c r="G1144" s="2168"/>
      <c r="H1144" s="2168"/>
      <c r="I1144" s="2168"/>
      <c r="J1144" s="2121"/>
    </row>
    <row r="1145" spans="6:10">
      <c r="F1145" s="2168"/>
      <c r="G1145" s="2168"/>
      <c r="H1145" s="2168"/>
      <c r="I1145" s="2168"/>
      <c r="J1145" s="2121"/>
    </row>
    <row r="1146" spans="6:10">
      <c r="F1146" s="2168"/>
      <c r="G1146" s="2168"/>
      <c r="H1146" s="2168"/>
      <c r="I1146" s="2168"/>
      <c r="J1146" s="2121"/>
    </row>
    <row r="1147" spans="6:10">
      <c r="F1147" s="2168"/>
      <c r="G1147" s="2168"/>
      <c r="H1147" s="2168"/>
      <c r="I1147" s="2168"/>
      <c r="J1147" s="2121"/>
    </row>
    <row r="1148" spans="6:10">
      <c r="F1148" s="2168"/>
      <c r="G1148" s="2168"/>
      <c r="H1148" s="2168"/>
      <c r="I1148" s="2168"/>
      <c r="J1148" s="2121"/>
    </row>
    <row r="1149" spans="6:10">
      <c r="F1149" s="2168"/>
      <c r="G1149" s="2168"/>
      <c r="H1149" s="2168"/>
      <c r="I1149" s="2168"/>
      <c r="J1149" s="2121"/>
    </row>
    <row r="1150" spans="6:10">
      <c r="F1150" s="2168"/>
      <c r="G1150" s="2168"/>
      <c r="H1150" s="2168"/>
      <c r="I1150" s="2168"/>
      <c r="J1150" s="2121"/>
    </row>
    <row r="1151" spans="6:10">
      <c r="F1151" s="2168"/>
      <c r="G1151" s="2168"/>
      <c r="H1151" s="2168"/>
      <c r="I1151" s="2168"/>
      <c r="J1151" s="2121"/>
    </row>
    <row r="1152" spans="6:10">
      <c r="F1152" s="2168"/>
      <c r="G1152" s="2168"/>
      <c r="H1152" s="2168"/>
      <c r="I1152" s="2168"/>
      <c r="J1152" s="2121"/>
    </row>
    <row r="1153" spans="6:10">
      <c r="F1153" s="2168"/>
      <c r="G1153" s="2168"/>
      <c r="H1153" s="2168"/>
      <c r="I1153" s="2168"/>
      <c r="J1153" s="2121"/>
    </row>
    <row r="1154" spans="6:10">
      <c r="F1154" s="2168"/>
      <c r="G1154" s="2168"/>
      <c r="H1154" s="2168"/>
      <c r="I1154" s="2168"/>
      <c r="J1154" s="2121"/>
    </row>
    <row r="1155" spans="6:10">
      <c r="F1155" s="2168"/>
      <c r="G1155" s="2168"/>
      <c r="H1155" s="2168"/>
      <c r="I1155" s="2168"/>
      <c r="J1155" s="2121"/>
    </row>
    <row r="1156" spans="6:10">
      <c r="F1156" s="2168"/>
      <c r="G1156" s="2168"/>
      <c r="H1156" s="2168"/>
      <c r="I1156" s="2168"/>
      <c r="J1156" s="2121"/>
    </row>
    <row r="1157" spans="6:10">
      <c r="F1157" s="2168"/>
      <c r="G1157" s="2168"/>
      <c r="H1157" s="2168"/>
      <c r="I1157" s="2168"/>
      <c r="J1157" s="2121"/>
    </row>
    <row r="1158" spans="6:10">
      <c r="F1158" s="2168"/>
      <c r="G1158" s="2168"/>
      <c r="H1158" s="2168"/>
      <c r="I1158" s="2168"/>
      <c r="J1158" s="2121"/>
    </row>
    <row r="1159" spans="6:10">
      <c r="F1159" s="2168"/>
      <c r="G1159" s="2168"/>
      <c r="H1159" s="2168"/>
      <c r="I1159" s="2168"/>
      <c r="J1159" s="2121"/>
    </row>
    <row r="1160" spans="6:10">
      <c r="F1160" s="2168"/>
      <c r="G1160" s="2168"/>
      <c r="H1160" s="2168"/>
      <c r="I1160" s="2168"/>
      <c r="J1160" s="2121"/>
    </row>
    <row r="1161" spans="6:10">
      <c r="F1161" s="2168"/>
      <c r="G1161" s="2168"/>
      <c r="H1161" s="2168"/>
      <c r="I1161" s="2168"/>
      <c r="J1161" s="2121"/>
    </row>
    <row r="1162" spans="6:10">
      <c r="F1162" s="2168"/>
      <c r="G1162" s="2168"/>
      <c r="H1162" s="2168"/>
      <c r="I1162" s="2168"/>
      <c r="J1162" s="2121"/>
    </row>
    <row r="1163" spans="6:10">
      <c r="F1163" s="2168"/>
      <c r="G1163" s="2168"/>
      <c r="H1163" s="2168"/>
      <c r="I1163" s="2168"/>
      <c r="J1163" s="2121"/>
    </row>
    <row r="1164" spans="6:10">
      <c r="F1164" s="2168"/>
      <c r="G1164" s="2168"/>
      <c r="H1164" s="2168"/>
      <c r="I1164" s="2168"/>
      <c r="J1164" s="2121"/>
    </row>
    <row r="1165" spans="6:10">
      <c r="F1165" s="2168"/>
      <c r="G1165" s="2168"/>
      <c r="H1165" s="2168"/>
      <c r="I1165" s="2168"/>
      <c r="J1165" s="2121"/>
    </row>
    <row r="1166" spans="6:10">
      <c r="F1166" s="2168"/>
      <c r="G1166" s="2168"/>
      <c r="H1166" s="2168"/>
      <c r="I1166" s="2168"/>
      <c r="J1166" s="2121"/>
    </row>
    <row r="1167" spans="6:10">
      <c r="F1167" s="2168"/>
      <c r="G1167" s="2168"/>
      <c r="H1167" s="2168"/>
      <c r="I1167" s="2168"/>
      <c r="J1167" s="2121"/>
    </row>
    <row r="1168" spans="6:10">
      <c r="F1168" s="2168"/>
      <c r="G1168" s="2168"/>
      <c r="H1168" s="2168"/>
      <c r="I1168" s="2168"/>
      <c r="J1168" s="2121"/>
    </row>
    <row r="1169" spans="6:10">
      <c r="F1169" s="2168"/>
      <c r="G1169" s="2168"/>
      <c r="H1169" s="2168"/>
      <c r="I1169" s="2168"/>
      <c r="J1169" s="2121"/>
    </row>
    <row r="1170" spans="6:10">
      <c r="F1170" s="2168"/>
      <c r="G1170" s="2168"/>
      <c r="H1170" s="2168"/>
      <c r="I1170" s="2168"/>
      <c r="J1170" s="2121"/>
    </row>
    <row r="1171" spans="6:10">
      <c r="F1171" s="2168"/>
      <c r="G1171" s="2168"/>
      <c r="H1171" s="2168"/>
      <c r="I1171" s="2168"/>
      <c r="J1171" s="2121"/>
    </row>
    <row r="1172" spans="6:10">
      <c r="F1172" s="2168"/>
      <c r="G1172" s="2168"/>
      <c r="H1172" s="2168"/>
      <c r="I1172" s="2168"/>
      <c r="J1172" s="2121"/>
    </row>
    <row r="1173" spans="6:10">
      <c r="F1173" s="2168"/>
      <c r="G1173" s="2168"/>
      <c r="H1173" s="2168"/>
      <c r="I1173" s="2168"/>
      <c r="J1173" s="2121"/>
    </row>
    <row r="1174" spans="6:10">
      <c r="F1174" s="2168"/>
      <c r="G1174" s="2168"/>
      <c r="H1174" s="2168"/>
      <c r="I1174" s="2168"/>
      <c r="J1174" s="2121"/>
    </row>
    <row r="1175" spans="6:10">
      <c r="F1175" s="2168"/>
      <c r="G1175" s="2168"/>
      <c r="H1175" s="2168"/>
      <c r="I1175" s="2168"/>
      <c r="J1175" s="2121"/>
    </row>
    <row r="1176" spans="6:10">
      <c r="F1176" s="2168"/>
      <c r="G1176" s="2168"/>
      <c r="H1176" s="2168"/>
      <c r="I1176" s="2168"/>
      <c r="J1176" s="2121"/>
    </row>
    <row r="1177" spans="6:10">
      <c r="F1177" s="2168"/>
      <c r="G1177" s="2168"/>
      <c r="H1177" s="2168"/>
      <c r="I1177" s="2168"/>
      <c r="J1177" s="2121"/>
    </row>
    <row r="1178" spans="6:10">
      <c r="F1178" s="2168"/>
      <c r="G1178" s="2168"/>
      <c r="H1178" s="2168"/>
      <c r="I1178" s="2168"/>
      <c r="J1178" s="2121"/>
    </row>
    <row r="1179" spans="6:10">
      <c r="F1179" s="2168"/>
      <c r="G1179" s="2168"/>
      <c r="H1179" s="2168"/>
      <c r="I1179" s="2168"/>
      <c r="J1179" s="2121"/>
    </row>
    <row r="1180" spans="6:10">
      <c r="F1180" s="2168"/>
      <c r="G1180" s="2168"/>
      <c r="H1180" s="2168"/>
      <c r="I1180" s="2168"/>
      <c r="J1180" s="2121"/>
    </row>
    <row r="1181" spans="6:10">
      <c r="F1181" s="2168"/>
      <c r="G1181" s="2168"/>
      <c r="H1181" s="2168"/>
      <c r="I1181" s="2168"/>
      <c r="J1181" s="2121"/>
    </row>
    <row r="1182" spans="6:10">
      <c r="F1182" s="2168"/>
      <c r="G1182" s="2168"/>
      <c r="H1182" s="2168"/>
      <c r="I1182" s="2168"/>
      <c r="J1182" s="2121"/>
    </row>
    <row r="1183" spans="6:10">
      <c r="F1183" s="2168"/>
      <c r="G1183" s="2168"/>
      <c r="H1183" s="2168"/>
      <c r="I1183" s="2168"/>
      <c r="J1183" s="2121"/>
    </row>
    <row r="1184" spans="6:10">
      <c r="F1184" s="2168"/>
      <c r="G1184" s="2168"/>
      <c r="H1184" s="2168"/>
      <c r="I1184" s="2168"/>
      <c r="J1184" s="2121"/>
    </row>
    <row r="1185" spans="6:10">
      <c r="F1185" s="2168"/>
      <c r="G1185" s="2168"/>
      <c r="H1185" s="2168"/>
      <c r="I1185" s="2168"/>
      <c r="J1185" s="2121"/>
    </row>
    <row r="1186" spans="6:10">
      <c r="F1186" s="2168"/>
      <c r="G1186" s="2168"/>
      <c r="H1186" s="2168"/>
      <c r="I1186" s="2168"/>
      <c r="J1186" s="2121"/>
    </row>
    <row r="1187" spans="6:10">
      <c r="F1187" s="2168"/>
      <c r="G1187" s="2168"/>
      <c r="H1187" s="2168"/>
      <c r="I1187" s="2168"/>
      <c r="J1187" s="2121"/>
    </row>
    <row r="1188" spans="6:10">
      <c r="F1188" s="2168"/>
      <c r="G1188" s="2168"/>
      <c r="H1188" s="2168"/>
      <c r="I1188" s="2168"/>
      <c r="J1188" s="2121"/>
    </row>
    <row r="1189" spans="6:10">
      <c r="F1189" s="2168"/>
      <c r="G1189" s="2168"/>
      <c r="H1189" s="2168"/>
      <c r="I1189" s="2168"/>
      <c r="J1189" s="2121"/>
    </row>
    <row r="1190" spans="6:10">
      <c r="F1190" s="2168"/>
      <c r="G1190" s="2168"/>
      <c r="H1190" s="2168"/>
      <c r="I1190" s="2168"/>
      <c r="J1190" s="2121"/>
    </row>
    <row r="1191" spans="6:10">
      <c r="F1191" s="2168"/>
      <c r="G1191" s="2168"/>
      <c r="H1191" s="2168"/>
      <c r="I1191" s="2168"/>
      <c r="J1191" s="2121"/>
    </row>
    <row r="1192" spans="6:10">
      <c r="F1192" s="2168"/>
      <c r="G1192" s="2168"/>
      <c r="H1192" s="2168"/>
      <c r="I1192" s="2168"/>
      <c r="J1192" s="2121"/>
    </row>
    <row r="1193" spans="6:10">
      <c r="F1193" s="2168"/>
      <c r="G1193" s="2168"/>
      <c r="H1193" s="2168"/>
      <c r="I1193" s="2168"/>
      <c r="J1193" s="2121"/>
    </row>
    <row r="1194" spans="6:10">
      <c r="F1194" s="2168"/>
      <c r="G1194" s="2168"/>
      <c r="H1194" s="2168"/>
      <c r="I1194" s="2168"/>
      <c r="J1194" s="2121"/>
    </row>
    <row r="1195" spans="6:10">
      <c r="F1195" s="2168"/>
      <c r="G1195" s="2168"/>
      <c r="H1195" s="2168"/>
      <c r="I1195" s="2168"/>
      <c r="J1195" s="2121"/>
    </row>
    <row r="1196" spans="6:10">
      <c r="F1196" s="2168"/>
      <c r="G1196" s="2168"/>
      <c r="H1196" s="2168"/>
      <c r="I1196" s="2168"/>
      <c r="J1196" s="2121"/>
    </row>
    <row r="1197" spans="6:10">
      <c r="F1197" s="2168"/>
      <c r="G1197" s="2168"/>
      <c r="H1197" s="2168"/>
      <c r="I1197" s="2168"/>
      <c r="J1197" s="2121"/>
    </row>
    <row r="1198" spans="6:10">
      <c r="F1198" s="2168"/>
      <c r="G1198" s="2168"/>
      <c r="H1198" s="2168"/>
      <c r="I1198" s="2168"/>
      <c r="J1198" s="2121"/>
    </row>
    <row r="1199" spans="6:10">
      <c r="F1199" s="2168"/>
      <c r="G1199" s="2168"/>
      <c r="H1199" s="2168"/>
      <c r="I1199" s="2168"/>
      <c r="J1199" s="2121"/>
    </row>
    <row r="1200" spans="6:10">
      <c r="F1200" s="2168"/>
      <c r="G1200" s="2168"/>
      <c r="H1200" s="2168"/>
      <c r="I1200" s="2168"/>
      <c r="J1200" s="2121"/>
    </row>
    <row r="1201" spans="6:10">
      <c r="F1201" s="2168"/>
      <c r="G1201" s="2168"/>
      <c r="H1201" s="2168"/>
      <c r="I1201" s="2168"/>
      <c r="J1201" s="2121"/>
    </row>
    <row r="1202" spans="6:10">
      <c r="F1202" s="2168"/>
      <c r="G1202" s="2168"/>
      <c r="H1202" s="2168"/>
      <c r="I1202" s="2168"/>
      <c r="J1202" s="2121"/>
    </row>
    <row r="1203" spans="6:10">
      <c r="F1203" s="2168"/>
      <c r="G1203" s="2168"/>
      <c r="H1203" s="2168"/>
      <c r="I1203" s="2168"/>
      <c r="J1203" s="2121"/>
    </row>
    <row r="1204" spans="6:10">
      <c r="F1204" s="2168"/>
      <c r="G1204" s="2168"/>
      <c r="H1204" s="2168"/>
      <c r="I1204" s="2168"/>
      <c r="J1204" s="2121"/>
    </row>
    <row r="1205" spans="6:10">
      <c r="F1205" s="2168"/>
      <c r="G1205" s="2168"/>
      <c r="H1205" s="2168"/>
      <c r="I1205" s="2168"/>
      <c r="J1205" s="2121"/>
    </row>
    <row r="1206" spans="6:10">
      <c r="F1206" s="2168"/>
      <c r="G1206" s="2168"/>
      <c r="H1206" s="2168"/>
      <c r="I1206" s="2168"/>
      <c r="J1206" s="2121"/>
    </row>
    <row r="1207" spans="6:10">
      <c r="F1207" s="2168"/>
      <c r="G1207" s="2168"/>
      <c r="H1207" s="2168"/>
      <c r="I1207" s="2168"/>
      <c r="J1207" s="2121"/>
    </row>
    <row r="1208" spans="6:10">
      <c r="F1208" s="2168"/>
      <c r="G1208" s="2168"/>
      <c r="H1208" s="2168"/>
      <c r="I1208" s="2168"/>
      <c r="J1208" s="2121"/>
    </row>
    <row r="1209" spans="6:10">
      <c r="F1209" s="2168"/>
      <c r="G1209" s="2168"/>
      <c r="H1209" s="2168"/>
      <c r="I1209" s="2168"/>
      <c r="J1209" s="2121"/>
    </row>
    <row r="1210" spans="6:10">
      <c r="F1210" s="2168"/>
      <c r="G1210" s="2168"/>
      <c r="H1210" s="2168"/>
      <c r="I1210" s="2168"/>
      <c r="J1210" s="2121"/>
    </row>
    <row r="1211" spans="6:10">
      <c r="F1211" s="2168"/>
      <c r="G1211" s="2168"/>
      <c r="H1211" s="2168"/>
      <c r="I1211" s="2168"/>
      <c r="J1211" s="2121"/>
    </row>
    <row r="1212" spans="6:10">
      <c r="F1212" s="2168"/>
      <c r="G1212" s="2168"/>
      <c r="H1212" s="2168"/>
      <c r="I1212" s="2168"/>
      <c r="J1212" s="2121"/>
    </row>
    <row r="1213" spans="6:10">
      <c r="F1213" s="2168"/>
      <c r="G1213" s="2168"/>
      <c r="H1213" s="2168"/>
      <c r="I1213" s="2168"/>
      <c r="J1213" s="2121"/>
    </row>
    <row r="1214" spans="6:10">
      <c r="F1214" s="2168"/>
      <c r="G1214" s="2168"/>
      <c r="H1214" s="2168"/>
      <c r="I1214" s="2168"/>
      <c r="J1214" s="2121"/>
    </row>
    <row r="1215" spans="6:10">
      <c r="F1215" s="2168"/>
      <c r="G1215" s="2168"/>
      <c r="H1215" s="2168"/>
      <c r="I1215" s="2168"/>
      <c r="J1215" s="2121"/>
    </row>
    <row r="1216" spans="6:10">
      <c r="F1216" s="2168"/>
      <c r="G1216" s="2168"/>
      <c r="H1216" s="2168"/>
      <c r="I1216" s="2168"/>
      <c r="J1216" s="2121"/>
    </row>
    <row r="1217" spans="6:10">
      <c r="F1217" s="2168"/>
      <c r="G1217" s="2168"/>
      <c r="H1217" s="2168"/>
      <c r="I1217" s="2168"/>
      <c r="J1217" s="2121"/>
    </row>
    <row r="1218" spans="6:10">
      <c r="F1218" s="2168"/>
      <c r="G1218" s="2168"/>
      <c r="H1218" s="2168"/>
      <c r="I1218" s="2168"/>
      <c r="J1218" s="2121"/>
    </row>
    <row r="1219" spans="6:10">
      <c r="F1219" s="2168"/>
      <c r="G1219" s="2168"/>
      <c r="H1219" s="2168"/>
      <c r="I1219" s="2168"/>
      <c r="J1219" s="2121"/>
    </row>
    <row r="1220" spans="6:10">
      <c r="F1220" s="2168"/>
      <c r="G1220" s="2168"/>
      <c r="H1220" s="2168"/>
      <c r="I1220" s="2168"/>
      <c r="J1220" s="2121"/>
    </row>
    <row r="1221" spans="6:10">
      <c r="F1221" s="2168"/>
      <c r="G1221" s="2168"/>
      <c r="H1221" s="2168"/>
      <c r="I1221" s="2168"/>
      <c r="J1221" s="2121"/>
    </row>
    <row r="1222" spans="6:10">
      <c r="F1222" s="2168"/>
      <c r="G1222" s="2168"/>
      <c r="H1222" s="2168"/>
      <c r="I1222" s="2168"/>
      <c r="J1222" s="2121"/>
    </row>
    <row r="1223" spans="6:10">
      <c r="F1223" s="2168"/>
      <c r="G1223" s="2168"/>
      <c r="H1223" s="2168"/>
      <c r="I1223" s="2168"/>
      <c r="J1223" s="2121"/>
    </row>
    <row r="1224" spans="6:10">
      <c r="F1224" s="2168"/>
      <c r="G1224" s="2168"/>
      <c r="H1224" s="2168"/>
      <c r="I1224" s="2168"/>
      <c r="J1224" s="2121"/>
    </row>
    <row r="1225" spans="6:10">
      <c r="F1225" s="2168"/>
      <c r="G1225" s="2168"/>
      <c r="H1225" s="2168"/>
      <c r="I1225" s="2168"/>
      <c r="J1225" s="2121"/>
    </row>
    <row r="1226" spans="6:10">
      <c r="F1226" s="2168"/>
      <c r="G1226" s="2168"/>
      <c r="H1226" s="2168"/>
      <c r="I1226" s="2168"/>
      <c r="J1226" s="2121"/>
    </row>
    <row r="1227" spans="6:10">
      <c r="F1227" s="2168"/>
      <c r="G1227" s="2168"/>
      <c r="H1227" s="2168"/>
      <c r="I1227" s="2168"/>
      <c r="J1227" s="2121"/>
    </row>
    <row r="1228" spans="6:10">
      <c r="F1228" s="2168"/>
      <c r="G1228" s="2168"/>
      <c r="H1228" s="2168"/>
      <c r="I1228" s="2168"/>
      <c r="J1228" s="2121"/>
    </row>
    <row r="1229" spans="6:10">
      <c r="F1229" s="2168"/>
      <c r="G1229" s="2168"/>
      <c r="H1229" s="2168"/>
      <c r="I1229" s="2168"/>
      <c r="J1229" s="2121"/>
    </row>
    <row r="1230" spans="6:10">
      <c r="F1230" s="2168"/>
      <c r="G1230" s="2168"/>
      <c r="H1230" s="2168"/>
      <c r="I1230" s="2168"/>
      <c r="J1230" s="2121"/>
    </row>
    <row r="1231" spans="6:10">
      <c r="F1231" s="2168"/>
      <c r="G1231" s="2168"/>
      <c r="H1231" s="2168"/>
      <c r="I1231" s="2168"/>
      <c r="J1231" s="2121"/>
    </row>
    <row r="1232" spans="6:10">
      <c r="F1232" s="2168"/>
      <c r="G1232" s="2168"/>
      <c r="H1232" s="2168"/>
      <c r="I1232" s="2168"/>
      <c r="J1232" s="2121"/>
    </row>
    <row r="1233" spans="6:10">
      <c r="F1233" s="2168"/>
      <c r="G1233" s="2168"/>
      <c r="H1233" s="2168"/>
      <c r="I1233" s="2168"/>
      <c r="J1233" s="2121"/>
    </row>
    <row r="1234" spans="6:10">
      <c r="F1234" s="2168"/>
      <c r="G1234" s="2168"/>
      <c r="H1234" s="2168"/>
      <c r="I1234" s="2168"/>
      <c r="J1234" s="2121"/>
    </row>
    <row r="1235" spans="6:10">
      <c r="F1235" s="2168"/>
      <c r="G1235" s="2168"/>
      <c r="H1235" s="2168"/>
      <c r="I1235" s="2168"/>
      <c r="J1235" s="2121"/>
    </row>
    <row r="1236" spans="6:10">
      <c r="F1236" s="2168"/>
      <c r="G1236" s="2168"/>
      <c r="H1236" s="2168"/>
      <c r="I1236" s="2168"/>
      <c r="J1236" s="2121"/>
    </row>
    <row r="1237" spans="6:10">
      <c r="F1237" s="2168"/>
      <c r="G1237" s="2168"/>
      <c r="H1237" s="2168"/>
      <c r="I1237" s="2168"/>
      <c r="J1237" s="2121"/>
    </row>
    <row r="1238" spans="6:10">
      <c r="F1238" s="2168"/>
      <c r="G1238" s="2168"/>
      <c r="H1238" s="2168"/>
      <c r="I1238" s="2168"/>
      <c r="J1238" s="2121"/>
    </row>
    <row r="1239" spans="6:10">
      <c r="F1239" s="2168"/>
      <c r="G1239" s="2168"/>
      <c r="H1239" s="2168"/>
      <c r="I1239" s="2168"/>
      <c r="J1239" s="2121"/>
    </row>
    <row r="1240" spans="6:10">
      <c r="F1240" s="2168"/>
      <c r="G1240" s="2168"/>
      <c r="H1240" s="2168"/>
      <c r="I1240" s="2168"/>
      <c r="J1240" s="2121"/>
    </row>
    <row r="1241" spans="6:10">
      <c r="F1241" s="2168"/>
      <c r="G1241" s="2168"/>
      <c r="H1241" s="2168"/>
      <c r="I1241" s="2168"/>
      <c r="J1241" s="2121"/>
    </row>
    <row r="1242" spans="6:10">
      <c r="F1242" s="2168"/>
      <c r="G1242" s="2168"/>
      <c r="H1242" s="2168"/>
      <c r="I1242" s="2168"/>
      <c r="J1242" s="2121"/>
    </row>
    <row r="1243" spans="6:10">
      <c r="F1243" s="2168"/>
      <c r="G1243" s="2168"/>
      <c r="H1243" s="2168"/>
      <c r="I1243" s="2168"/>
      <c r="J1243" s="2121"/>
    </row>
    <row r="1244" spans="6:10">
      <c r="F1244" s="2168"/>
      <c r="G1244" s="2168"/>
      <c r="H1244" s="2168"/>
      <c r="I1244" s="2168"/>
      <c r="J1244" s="2121"/>
    </row>
    <row r="1245" spans="6:10">
      <c r="F1245" s="2168"/>
      <c r="G1245" s="2168"/>
      <c r="H1245" s="2168"/>
      <c r="I1245" s="2168"/>
      <c r="J1245" s="2121"/>
    </row>
    <row r="1246" spans="6:10">
      <c r="F1246" s="2168"/>
      <c r="G1246" s="2168"/>
      <c r="H1246" s="2168"/>
      <c r="I1246" s="2168"/>
      <c r="J1246" s="2121"/>
    </row>
    <row r="1247" spans="6:10">
      <c r="F1247" s="2168"/>
      <c r="G1247" s="2168"/>
      <c r="H1247" s="2168"/>
      <c r="I1247" s="2168"/>
      <c r="J1247" s="2121"/>
    </row>
    <row r="1248" spans="6:10">
      <c r="F1248" s="2168"/>
      <c r="G1248" s="2168"/>
      <c r="H1248" s="2168"/>
      <c r="I1248" s="2168"/>
      <c r="J1248" s="2121"/>
    </row>
    <row r="1249" spans="6:10">
      <c r="F1249" s="2168"/>
      <c r="G1249" s="2168"/>
      <c r="H1249" s="2168"/>
      <c r="I1249" s="2168"/>
      <c r="J1249" s="2121"/>
    </row>
    <row r="1250" spans="6:10">
      <c r="F1250" s="2168"/>
      <c r="G1250" s="2168"/>
      <c r="H1250" s="2168"/>
      <c r="I1250" s="2168"/>
      <c r="J1250" s="2121"/>
    </row>
    <row r="1251" spans="6:10">
      <c r="F1251" s="2168"/>
      <c r="G1251" s="2168"/>
      <c r="H1251" s="2168"/>
      <c r="I1251" s="2168"/>
      <c r="J1251" s="2121"/>
    </row>
    <row r="1252" spans="6:10">
      <c r="F1252" s="2168"/>
      <c r="G1252" s="2168"/>
      <c r="H1252" s="2168"/>
      <c r="I1252" s="2168"/>
      <c r="J1252" s="2121"/>
    </row>
    <row r="1253" spans="6:10">
      <c r="F1253" s="2168"/>
      <c r="G1253" s="2168"/>
      <c r="H1253" s="2168"/>
      <c r="I1253" s="2168"/>
      <c r="J1253" s="2121"/>
    </row>
    <row r="1254" spans="6:10">
      <c r="F1254" s="2168"/>
      <c r="G1254" s="2168"/>
      <c r="H1254" s="2168"/>
      <c r="I1254" s="2168"/>
      <c r="J1254" s="2121"/>
    </row>
    <row r="1255" spans="6:10">
      <c r="F1255" s="2168"/>
      <c r="G1255" s="2168"/>
      <c r="H1255" s="2168"/>
      <c r="I1255" s="2168"/>
      <c r="J1255" s="2121"/>
    </row>
    <row r="1256" spans="6:10">
      <c r="F1256" s="2168"/>
      <c r="G1256" s="2168"/>
      <c r="H1256" s="2168"/>
      <c r="I1256" s="2168"/>
      <c r="J1256" s="2121"/>
    </row>
    <row r="1257" spans="6:10">
      <c r="F1257" s="2168"/>
      <c r="G1257" s="2168"/>
      <c r="H1257" s="2168"/>
      <c r="I1257" s="2168"/>
      <c r="J1257" s="2121"/>
    </row>
    <row r="1258" spans="6:10">
      <c r="F1258" s="2168"/>
      <c r="G1258" s="2168"/>
      <c r="H1258" s="2168"/>
      <c r="I1258" s="2168"/>
      <c r="J1258" s="2121"/>
    </row>
    <row r="1259" spans="6:10">
      <c r="F1259" s="2168"/>
      <c r="G1259" s="2168"/>
      <c r="H1259" s="2168"/>
      <c r="I1259" s="2168"/>
      <c r="J1259" s="2121"/>
    </row>
    <row r="1260" spans="6:10">
      <c r="F1260" s="2168"/>
      <c r="G1260" s="2168"/>
      <c r="H1260" s="2168"/>
      <c r="I1260" s="2168"/>
      <c r="J1260" s="2121"/>
    </row>
    <row r="1261" spans="6:10">
      <c r="F1261" s="2168"/>
      <c r="G1261" s="2168"/>
      <c r="H1261" s="2168"/>
      <c r="I1261" s="2168"/>
      <c r="J1261" s="2121"/>
    </row>
    <row r="1262" spans="6:10">
      <c r="F1262" s="2168"/>
      <c r="G1262" s="2168"/>
      <c r="H1262" s="2168"/>
      <c r="I1262" s="2168"/>
      <c r="J1262" s="2121"/>
    </row>
    <row r="1263" spans="6:10">
      <c r="F1263" s="2168"/>
      <c r="G1263" s="2168"/>
      <c r="H1263" s="2168"/>
      <c r="I1263" s="2168"/>
      <c r="J1263" s="2121"/>
    </row>
    <row r="1264" spans="6:10">
      <c r="F1264" s="2168"/>
      <c r="G1264" s="2168"/>
      <c r="H1264" s="2168"/>
      <c r="I1264" s="2168"/>
      <c r="J1264" s="2121"/>
    </row>
    <row r="1265" spans="6:10">
      <c r="F1265" s="2168"/>
      <c r="G1265" s="2168"/>
      <c r="H1265" s="2168"/>
      <c r="I1265" s="2168"/>
      <c r="J1265" s="2121"/>
    </row>
    <row r="1266" spans="6:10">
      <c r="F1266" s="2168"/>
      <c r="G1266" s="2168"/>
      <c r="H1266" s="2168"/>
      <c r="I1266" s="2168"/>
      <c r="J1266" s="2121"/>
    </row>
    <row r="1267" spans="6:10">
      <c r="F1267" s="2168"/>
      <c r="G1267" s="2168"/>
      <c r="H1267" s="2168"/>
      <c r="I1267" s="2168"/>
      <c r="J1267" s="2121"/>
    </row>
    <row r="1268" spans="6:10">
      <c r="F1268" s="2168"/>
      <c r="G1268" s="2168"/>
      <c r="H1268" s="2168"/>
      <c r="I1268" s="2168"/>
      <c r="J1268" s="2121"/>
    </row>
    <row r="1269" spans="6:10">
      <c r="F1269" s="2168"/>
      <c r="G1269" s="2168"/>
      <c r="H1269" s="2168"/>
      <c r="I1269" s="2168"/>
      <c r="J1269" s="2121"/>
    </row>
    <row r="1270" spans="6:10">
      <c r="F1270" s="2168"/>
      <c r="G1270" s="2168"/>
      <c r="H1270" s="2168"/>
      <c r="I1270" s="2168"/>
      <c r="J1270" s="2121"/>
    </row>
    <row r="1271" spans="6:10">
      <c r="F1271" s="2168"/>
      <c r="G1271" s="2168"/>
      <c r="H1271" s="2168"/>
      <c r="I1271" s="2168"/>
      <c r="J1271" s="2121"/>
    </row>
    <row r="1272" spans="6:10">
      <c r="F1272" s="2168"/>
      <c r="G1272" s="2168"/>
      <c r="H1272" s="2168"/>
      <c r="I1272" s="2168"/>
      <c r="J1272" s="2121"/>
    </row>
    <row r="1273" spans="6:10">
      <c r="F1273" s="2168"/>
      <c r="G1273" s="2168"/>
      <c r="H1273" s="2168"/>
      <c r="I1273" s="2168"/>
      <c r="J1273" s="2121"/>
    </row>
    <row r="1274" spans="6:10">
      <c r="F1274" s="2168"/>
      <c r="G1274" s="2168"/>
      <c r="H1274" s="2168"/>
      <c r="I1274" s="2168"/>
      <c r="J1274" s="2121"/>
    </row>
    <row r="1275" spans="6:10">
      <c r="F1275" s="2168"/>
      <c r="G1275" s="2168"/>
      <c r="H1275" s="2168"/>
      <c r="I1275" s="2168"/>
      <c r="J1275" s="2121"/>
    </row>
    <row r="1276" spans="6:10">
      <c r="F1276" s="2168"/>
      <c r="G1276" s="2168"/>
      <c r="H1276" s="2168"/>
      <c r="I1276" s="2168"/>
      <c r="J1276" s="2121"/>
    </row>
    <row r="1277" spans="6:10">
      <c r="F1277" s="2168"/>
      <c r="G1277" s="2168"/>
      <c r="H1277" s="2168"/>
      <c r="I1277" s="2168"/>
      <c r="J1277" s="2121"/>
    </row>
    <row r="1278" spans="6:10">
      <c r="F1278" s="2168"/>
      <c r="G1278" s="2168"/>
      <c r="H1278" s="2168"/>
      <c r="I1278" s="2168"/>
      <c r="J1278" s="2121"/>
    </row>
    <row r="1279" spans="6:10">
      <c r="F1279" s="2168"/>
      <c r="G1279" s="2168"/>
      <c r="H1279" s="2168"/>
      <c r="I1279" s="2168"/>
      <c r="J1279" s="2121"/>
    </row>
    <row r="1280" spans="6:10">
      <c r="F1280" s="2168"/>
      <c r="G1280" s="2168"/>
      <c r="H1280" s="2168"/>
      <c r="I1280" s="2168"/>
      <c r="J1280" s="2121"/>
    </row>
    <row r="1281" spans="6:10">
      <c r="F1281" s="2168"/>
      <c r="G1281" s="2168"/>
      <c r="H1281" s="2168"/>
      <c r="I1281" s="2168"/>
      <c r="J1281" s="2121"/>
    </row>
    <row r="1282" spans="6:10">
      <c r="F1282" s="2168"/>
      <c r="G1282" s="2168"/>
      <c r="H1282" s="2168"/>
      <c r="I1282" s="2168"/>
      <c r="J1282" s="2121"/>
    </row>
    <row r="1283" spans="6:10">
      <c r="F1283" s="2168"/>
      <c r="G1283" s="2168"/>
      <c r="H1283" s="2168"/>
      <c r="I1283" s="2168"/>
      <c r="J1283" s="2121"/>
    </row>
    <row r="1284" spans="6:10">
      <c r="F1284" s="2168"/>
      <c r="G1284" s="2168"/>
      <c r="H1284" s="2168"/>
      <c r="I1284" s="2168"/>
      <c r="J1284" s="2121"/>
    </row>
    <row r="1285" spans="6:10">
      <c r="F1285" s="2168"/>
      <c r="G1285" s="2168"/>
      <c r="H1285" s="2168"/>
      <c r="I1285" s="2168"/>
      <c r="J1285" s="2121"/>
    </row>
    <row r="1286" spans="6:10">
      <c r="F1286" s="2168"/>
      <c r="G1286" s="2168"/>
      <c r="H1286" s="2168"/>
      <c r="I1286" s="2168"/>
      <c r="J1286" s="2121"/>
    </row>
    <row r="1287" spans="6:10">
      <c r="F1287" s="2168"/>
      <c r="G1287" s="2168"/>
      <c r="H1287" s="2168"/>
      <c r="I1287" s="2168"/>
      <c r="J1287" s="2121"/>
    </row>
    <row r="1288" spans="6:10">
      <c r="F1288" s="2168"/>
      <c r="G1288" s="2168"/>
      <c r="H1288" s="2168"/>
      <c r="I1288" s="2168"/>
      <c r="J1288" s="2121"/>
    </row>
    <row r="1289" spans="6:10">
      <c r="F1289" s="2168"/>
      <c r="G1289" s="2168"/>
      <c r="H1289" s="2168"/>
      <c r="I1289" s="2168"/>
      <c r="J1289" s="2121"/>
    </row>
    <row r="1290" spans="6:10">
      <c r="F1290" s="2168"/>
      <c r="G1290" s="2168"/>
      <c r="H1290" s="2168"/>
      <c r="I1290" s="2168"/>
      <c r="J1290" s="2121"/>
    </row>
    <row r="1291" spans="6:10">
      <c r="F1291" s="2168"/>
      <c r="G1291" s="2168"/>
      <c r="H1291" s="2168"/>
      <c r="I1291" s="2168"/>
      <c r="J1291" s="2121"/>
    </row>
    <row r="1292" spans="6:10">
      <c r="F1292" s="2168"/>
      <c r="G1292" s="2168"/>
      <c r="H1292" s="2168"/>
      <c r="I1292" s="2168"/>
      <c r="J1292" s="2121"/>
    </row>
    <row r="1293" spans="6:10">
      <c r="F1293" s="2168"/>
      <c r="G1293" s="2168"/>
      <c r="H1293" s="2168"/>
      <c r="I1293" s="2168"/>
      <c r="J1293" s="2121"/>
    </row>
    <row r="1294" spans="6:10">
      <c r="F1294" s="2168"/>
      <c r="G1294" s="2168"/>
      <c r="H1294" s="2168"/>
      <c r="I1294" s="2168"/>
      <c r="J1294" s="2121"/>
    </row>
    <row r="1295" spans="6:10">
      <c r="F1295" s="2168"/>
      <c r="G1295" s="2168"/>
      <c r="H1295" s="2168"/>
      <c r="I1295" s="2168"/>
      <c r="J1295" s="2121"/>
    </row>
    <row r="1296" spans="6:10">
      <c r="F1296" s="2168"/>
      <c r="G1296" s="2168"/>
      <c r="H1296" s="2168"/>
      <c r="I1296" s="2168"/>
      <c r="J1296" s="2121"/>
    </row>
    <row r="1297" spans="6:10">
      <c r="F1297" s="2168"/>
      <c r="G1297" s="2168"/>
      <c r="H1297" s="2168"/>
      <c r="I1297" s="2168"/>
      <c r="J1297" s="2121"/>
    </row>
    <row r="1298" spans="6:10">
      <c r="F1298" s="2168"/>
      <c r="G1298" s="2168"/>
      <c r="H1298" s="2168"/>
      <c r="I1298" s="2168"/>
      <c r="J1298" s="2121"/>
    </row>
    <row r="1299" spans="6:10">
      <c r="F1299" s="2168"/>
      <c r="G1299" s="2168"/>
      <c r="H1299" s="2168"/>
      <c r="I1299" s="2168"/>
      <c r="J1299" s="2121"/>
    </row>
    <row r="1300" spans="6:10">
      <c r="F1300" s="2168"/>
      <c r="G1300" s="2168"/>
      <c r="H1300" s="2168"/>
      <c r="I1300" s="2168"/>
      <c r="J1300" s="2121"/>
    </row>
    <row r="1301" spans="6:10">
      <c r="F1301" s="2168"/>
      <c r="G1301" s="2168"/>
      <c r="H1301" s="2168"/>
      <c r="I1301" s="2168"/>
      <c r="J1301" s="2121"/>
    </row>
    <row r="1302" spans="6:10">
      <c r="F1302" s="2168"/>
      <c r="G1302" s="2168"/>
      <c r="H1302" s="2168"/>
      <c r="I1302" s="2168"/>
      <c r="J1302" s="2121"/>
    </row>
    <row r="1303" spans="6:10">
      <c r="F1303" s="2168"/>
      <c r="G1303" s="2168"/>
      <c r="H1303" s="2168"/>
      <c r="I1303" s="2168"/>
      <c r="J1303" s="2121"/>
    </row>
    <row r="1304" spans="6:10">
      <c r="F1304" s="2168"/>
      <c r="G1304" s="2168"/>
      <c r="H1304" s="2168"/>
      <c r="I1304" s="2168"/>
      <c r="J1304" s="2121"/>
    </row>
    <row r="1305" spans="6:10">
      <c r="F1305" s="2168"/>
      <c r="G1305" s="2168"/>
      <c r="H1305" s="2168"/>
      <c r="I1305" s="2168"/>
      <c r="J1305" s="2121"/>
    </row>
    <row r="1306" spans="6:10">
      <c r="F1306" s="2168"/>
      <c r="G1306" s="2168"/>
      <c r="H1306" s="2168"/>
      <c r="I1306" s="2168"/>
      <c r="J1306" s="2121"/>
    </row>
    <row r="1307" spans="6:10">
      <c r="F1307" s="2168"/>
      <c r="G1307" s="2168"/>
      <c r="H1307" s="2168"/>
      <c r="I1307" s="2168"/>
      <c r="J1307" s="2121"/>
    </row>
    <row r="1308" spans="6:10">
      <c r="F1308" s="2168"/>
      <c r="G1308" s="2168"/>
      <c r="H1308" s="2168"/>
      <c r="I1308" s="2168"/>
      <c r="J1308" s="2121"/>
    </row>
    <row r="1309" spans="6:10">
      <c r="F1309" s="2168"/>
      <c r="G1309" s="2168"/>
      <c r="H1309" s="2168"/>
      <c r="I1309" s="2168"/>
      <c r="J1309" s="2121"/>
    </row>
    <row r="1310" spans="6:10">
      <c r="F1310" s="2168"/>
      <c r="G1310" s="2168"/>
      <c r="H1310" s="2168"/>
      <c r="I1310" s="2168"/>
      <c r="J1310" s="2121"/>
    </row>
    <row r="1311" spans="6:10">
      <c r="F1311" s="2168"/>
      <c r="G1311" s="2168"/>
      <c r="H1311" s="2168"/>
      <c r="I1311" s="2168"/>
      <c r="J1311" s="2121"/>
    </row>
    <row r="1312" spans="6:10">
      <c r="F1312" s="2168"/>
      <c r="G1312" s="2168"/>
      <c r="H1312" s="2168"/>
      <c r="I1312" s="2168"/>
      <c r="J1312" s="2121"/>
    </row>
    <row r="1313" spans="6:10">
      <c r="F1313" s="2168"/>
      <c r="G1313" s="2168"/>
      <c r="H1313" s="2168"/>
      <c r="I1313" s="2168"/>
      <c r="J1313" s="2121"/>
    </row>
    <row r="1314" spans="6:10">
      <c r="F1314" s="2168"/>
      <c r="G1314" s="2168"/>
      <c r="H1314" s="2168"/>
      <c r="I1314" s="2168"/>
      <c r="J1314" s="2121"/>
    </row>
    <row r="1315" spans="6:10">
      <c r="F1315" s="2168"/>
      <c r="G1315" s="2168"/>
      <c r="H1315" s="2168"/>
      <c r="I1315" s="2168"/>
      <c r="J1315" s="2121"/>
    </row>
    <row r="1316" spans="6:10">
      <c r="F1316" s="2168"/>
      <c r="G1316" s="2168"/>
      <c r="H1316" s="2168"/>
      <c r="I1316" s="2168"/>
      <c r="J1316" s="2121"/>
    </row>
    <row r="1317" spans="6:10">
      <c r="F1317" s="2168"/>
      <c r="G1317" s="2168"/>
      <c r="H1317" s="2168"/>
      <c r="I1317" s="2168"/>
      <c r="J1317" s="2121"/>
    </row>
  </sheetData>
  <pageMargins left="0.70866141732283472" right="0.70866141732283472" top="0.74803149606299213" bottom="0.74803149606299213" header="0.31496062992125984" footer="0.31496062992125984"/>
  <pageSetup paperSize="9" scale="28" orientation="landscape" r:id="rId1"/>
  <headerFooter>
    <oddFooter>&amp;L&amp;"Times New Roman,Uobičajeno"&amp;16&amp;K00-013Budžet Grada Mostara za 2022
 godinu - Služba za izgradnju infrastrukturnih objekata&amp;C&amp;"Times New Roman,Uobičajeno"&amp;16&amp;P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9"/>
  <dimension ref="A1:U83"/>
  <sheetViews>
    <sheetView view="pageBreakPreview" zoomScale="25" zoomScaleNormal="100" zoomScaleSheetLayoutView="25" workbookViewId="0">
      <selection activeCell="K53" sqref="K53"/>
    </sheetView>
  </sheetViews>
  <sheetFormatPr defaultRowHeight="99.95" customHeight="1"/>
  <cols>
    <col min="1" max="1" width="21.28515625" style="755" customWidth="1"/>
    <col min="2" max="2" width="11" style="755" hidden="1" customWidth="1"/>
    <col min="3" max="3" width="173.85546875" style="755" customWidth="1"/>
    <col min="4" max="4" width="132.85546875" style="755" customWidth="1"/>
    <col min="5" max="5" width="46" style="755" customWidth="1"/>
    <col min="6" max="10" width="46" style="1916" customWidth="1"/>
    <col min="11" max="11" width="23" style="333" customWidth="1"/>
    <col min="12" max="12" width="52.140625" style="333" customWidth="1"/>
    <col min="13" max="13" width="34.7109375" style="327" customWidth="1"/>
    <col min="14" max="14" width="18.140625" style="327" customWidth="1"/>
    <col min="15" max="15" width="21.28515625" style="327" customWidth="1"/>
    <col min="16" max="16" width="21.85546875" style="327" customWidth="1"/>
    <col min="17" max="17" width="17.5703125" style="327" customWidth="1"/>
  </cols>
  <sheetData>
    <row r="1" spans="1:17" ht="99.95" customHeight="1" thickBot="1">
      <c r="C1" s="755" t="s">
        <v>1502</v>
      </c>
    </row>
    <row r="2" spans="1:17" ht="99.95" customHeight="1" thickTop="1">
      <c r="A2" s="1917" t="s">
        <v>0</v>
      </c>
      <c r="B2" s="1918"/>
      <c r="C2" s="2425" t="s">
        <v>896</v>
      </c>
      <c r="D2" s="1919" t="s">
        <v>628</v>
      </c>
      <c r="E2" s="1920" t="s">
        <v>897</v>
      </c>
      <c r="F2" s="1921" t="s">
        <v>1294</v>
      </c>
      <c r="G2" s="1922" t="s">
        <v>1295</v>
      </c>
      <c r="H2" s="1920" t="s">
        <v>897</v>
      </c>
      <c r="I2" s="1921" t="s">
        <v>1652</v>
      </c>
      <c r="J2" s="1923" t="s">
        <v>1685</v>
      </c>
      <c r="L2" s="333">
        <f>'[3]PRIH REBALANS'!$AH$893</f>
        <v>3875643</v>
      </c>
      <c r="M2" s="688">
        <f>'Rashodi i izdaci-poseban dio'!U370</f>
        <v>0</v>
      </c>
      <c r="N2" s="688">
        <f>'Slu izg inf stru ob Ka gran 8 '!F5</f>
        <v>824357</v>
      </c>
      <c r="O2" s="688">
        <f>M2+N2</f>
        <v>824357</v>
      </c>
      <c r="P2" s="327">
        <v>1900000</v>
      </c>
      <c r="Q2" s="688">
        <f>O2+P2</f>
        <v>2724357</v>
      </c>
    </row>
    <row r="3" spans="1:17" ht="99.95" customHeight="1">
      <c r="A3" s="1924"/>
      <c r="B3" s="2422"/>
      <c r="C3" s="2426"/>
      <c r="D3" s="1925"/>
      <c r="E3" s="1926">
        <v>1</v>
      </c>
      <c r="F3" s="1927">
        <v>2</v>
      </c>
      <c r="G3" s="1928" t="s">
        <v>1666</v>
      </c>
      <c r="H3" s="1929">
        <v>4</v>
      </c>
      <c r="I3" s="1930">
        <v>5</v>
      </c>
      <c r="J3" s="1931" t="s">
        <v>1667</v>
      </c>
      <c r="L3" s="333">
        <f>'[3]PRIH REBALANS'!$AI$894</f>
        <v>3485151</v>
      </c>
      <c r="M3" s="688">
        <f>'Rashodi i izdaci-poseban dio'!U371</f>
        <v>0</v>
      </c>
      <c r="N3" s="688">
        <f>'Rashodi i izdaci-poseban dio'!U373</f>
        <v>0</v>
      </c>
      <c r="O3" s="688">
        <f>M3+N3</f>
        <v>0</v>
      </c>
      <c r="P3" s="688">
        <f>'Rashodi i izdaci-poseban dio'!U371+'Rashodi i izdaci-poseban dio'!U373</f>
        <v>0</v>
      </c>
      <c r="Q3" s="688">
        <f>'[3]PRIH REBALANS'!$AI$894+'[3]PRIH REBALANS'!$AI$906</f>
        <v>3560481</v>
      </c>
    </row>
    <row r="4" spans="1:17" ht="99.95" customHeight="1">
      <c r="A4" s="1924"/>
      <c r="B4" s="2422"/>
      <c r="C4" s="2971" t="s">
        <v>464</v>
      </c>
      <c r="D4" s="1925"/>
      <c r="E4" s="1926"/>
      <c r="F4" s="1932"/>
      <c r="G4" s="1928"/>
      <c r="H4" s="1929"/>
      <c r="I4" s="1930"/>
      <c r="J4" s="1931"/>
      <c r="K4" s="333">
        <f>'[3]PRIH REBALANS'!$AH$893</f>
        <v>3875643</v>
      </c>
      <c r="P4" s="688"/>
    </row>
    <row r="5" spans="1:17" ht="99.95" customHeight="1">
      <c r="A5" s="2092"/>
      <c r="B5" s="2093"/>
      <c r="C5" s="2972" t="s">
        <v>1193</v>
      </c>
      <c r="D5" s="2094"/>
      <c r="E5" s="2095">
        <f>SUM(E12:E63)</f>
        <v>3485150.53</v>
      </c>
      <c r="F5" s="2096">
        <f>SUM(F12:F74)</f>
        <v>3875642.92</v>
      </c>
      <c r="G5" s="2097">
        <f>E5+F5</f>
        <v>7360793.4499999993</v>
      </c>
      <c r="H5" s="2095">
        <f>SUM(H12:H63)</f>
        <v>0</v>
      </c>
      <c r="I5" s="2096">
        <f>SUM(I6:I74)</f>
        <v>2150000</v>
      </c>
      <c r="J5" s="2098">
        <f>H5+I5</f>
        <v>2150000</v>
      </c>
      <c r="K5" s="337">
        <f>'Rashodi i izdaci-poseban dio'!U370</f>
        <v>0</v>
      </c>
      <c r="L5" s="337">
        <f>'[2]PRIH REBALANS'!$AH$893+'[2]PRIH REBALANS'!$AI$894</f>
        <v>7496794</v>
      </c>
      <c r="M5" s="333">
        <f>F5-L5</f>
        <v>-3621151.08</v>
      </c>
      <c r="P5" s="688">
        <v>1900000</v>
      </c>
    </row>
    <row r="6" spans="1:17" ht="99.95" customHeight="1">
      <c r="A6" s="2112">
        <v>1</v>
      </c>
      <c r="B6" s="2113"/>
      <c r="C6" s="2469" t="s">
        <v>1688</v>
      </c>
      <c r="D6" s="2114" t="s">
        <v>899</v>
      </c>
      <c r="E6" s="2102"/>
      <c r="F6" s="2103"/>
      <c r="G6" s="2104"/>
      <c r="H6" s="2102"/>
      <c r="I6" s="2115">
        <v>300000</v>
      </c>
      <c r="J6" s="2116">
        <f>H6+I6</f>
        <v>300000</v>
      </c>
      <c r="K6" s="337"/>
      <c r="L6" s="337">
        <f>SUM(I6:I8)</f>
        <v>550000</v>
      </c>
      <c r="M6" s="333"/>
      <c r="P6" s="688"/>
    </row>
    <row r="7" spans="1:17" ht="99.95" customHeight="1">
      <c r="A7" s="2112">
        <v>2</v>
      </c>
      <c r="B7" s="2113"/>
      <c r="C7" s="2469" t="s">
        <v>1718</v>
      </c>
      <c r="D7" s="2114" t="s">
        <v>899</v>
      </c>
      <c r="E7" s="2102"/>
      <c r="F7" s="2103"/>
      <c r="G7" s="2104"/>
      <c r="H7" s="2102"/>
      <c r="I7" s="2115">
        <v>150000</v>
      </c>
      <c r="J7" s="2116">
        <f t="shared" ref="J7:J9" si="0">H7+I7</f>
        <v>150000</v>
      </c>
      <c r="K7" s="337"/>
      <c r="L7" s="337"/>
      <c r="M7" s="333"/>
      <c r="P7" s="688"/>
    </row>
    <row r="8" spans="1:17" ht="99.95" customHeight="1">
      <c r="A8" s="2112">
        <v>3</v>
      </c>
      <c r="B8" s="2113"/>
      <c r="C8" s="2973" t="s">
        <v>1719</v>
      </c>
      <c r="D8" s="2114"/>
      <c r="E8" s="2102"/>
      <c r="F8" s="2103"/>
      <c r="G8" s="2104"/>
      <c r="H8" s="2102"/>
      <c r="I8" s="2115">
        <v>100000</v>
      </c>
      <c r="J8" s="2116">
        <f t="shared" si="0"/>
        <v>100000</v>
      </c>
      <c r="K8" s="337"/>
      <c r="L8" s="337"/>
      <c r="M8" s="333"/>
      <c r="P8" s="688"/>
    </row>
    <row r="9" spans="1:17" ht="99.95" customHeight="1">
      <c r="A9" s="2112">
        <v>4</v>
      </c>
      <c r="B9" s="2113"/>
      <c r="C9" s="2469" t="s">
        <v>1686</v>
      </c>
      <c r="D9" s="2114" t="s">
        <v>899</v>
      </c>
      <c r="E9" s="2102"/>
      <c r="F9" s="2103"/>
      <c r="G9" s="2104"/>
      <c r="H9" s="2102"/>
      <c r="I9" s="2115">
        <v>1000000</v>
      </c>
      <c r="J9" s="2116">
        <f t="shared" si="0"/>
        <v>1000000</v>
      </c>
      <c r="K9" s="337"/>
      <c r="L9" s="2101">
        <f>I5-2200000</f>
        <v>-50000</v>
      </c>
      <c r="M9" s="333"/>
      <c r="P9" s="688"/>
    </row>
    <row r="10" spans="1:17" ht="99.95" customHeight="1">
      <c r="A10" s="2112">
        <v>5</v>
      </c>
      <c r="B10" s="2113"/>
      <c r="C10" s="2970" t="s">
        <v>1714</v>
      </c>
      <c r="D10" s="2114" t="s">
        <v>899</v>
      </c>
      <c r="E10" s="2102"/>
      <c r="F10" s="2103"/>
      <c r="G10" s="2104"/>
      <c r="H10" s="2102"/>
      <c r="I10" s="2115">
        <v>50000</v>
      </c>
      <c r="J10" s="2116">
        <f t="shared" ref="J10:J18" si="1">H10+I10</f>
        <v>50000</v>
      </c>
      <c r="K10" s="337"/>
      <c r="L10" s="337"/>
      <c r="M10" s="333"/>
      <c r="P10" s="688"/>
    </row>
    <row r="11" spans="1:17" ht="99.95" customHeight="1">
      <c r="A11" s="2112">
        <v>6</v>
      </c>
      <c r="B11" s="2113"/>
      <c r="C11" s="2427" t="s">
        <v>1687</v>
      </c>
      <c r="D11" s="2114" t="s">
        <v>899</v>
      </c>
      <c r="E11" s="2102"/>
      <c r="F11" s="2103"/>
      <c r="G11" s="2104"/>
      <c r="H11" s="2102"/>
      <c r="I11" s="2115">
        <v>40000</v>
      </c>
      <c r="J11" s="2116">
        <f t="shared" si="1"/>
        <v>40000</v>
      </c>
      <c r="K11" s="337"/>
      <c r="L11" s="337"/>
      <c r="M11" s="333"/>
      <c r="P11" s="688"/>
    </row>
    <row r="12" spans="1:17" ht="99.95" customHeight="1">
      <c r="A12" s="2112">
        <v>7</v>
      </c>
      <c r="B12" s="2099"/>
      <c r="C12" s="2428" t="s">
        <v>898</v>
      </c>
      <c r="D12" s="2100" t="s">
        <v>899</v>
      </c>
      <c r="E12" s="2110">
        <v>29919.5</v>
      </c>
      <c r="F12" s="2111"/>
      <c r="G12" s="1933">
        <f>E12+F12</f>
        <v>29919.5</v>
      </c>
      <c r="H12" s="2110"/>
      <c r="I12" s="2111"/>
      <c r="J12" s="2116">
        <f t="shared" si="1"/>
        <v>0</v>
      </c>
      <c r="K12" s="465">
        <f>'[3]PRIH REBALANS'!$AI$894</f>
        <v>3485151</v>
      </c>
      <c r="L12" s="337">
        <f t="shared" ref="L12:L74" si="2">E12+F12-G12</f>
        <v>0</v>
      </c>
      <c r="M12" s="688">
        <f>E5+'Slu izg inf stru ob Ka gran 8 '!E5</f>
        <v>3560480.53</v>
      </c>
      <c r="P12" s="688">
        <f>F5</f>
        <v>3875642.92</v>
      </c>
    </row>
    <row r="13" spans="1:17" s="335" customFormat="1" ht="99.95" customHeight="1">
      <c r="A13" s="2112">
        <v>8</v>
      </c>
      <c r="B13" s="2423">
        <v>821224</v>
      </c>
      <c r="C13" s="2428" t="s">
        <v>900</v>
      </c>
      <c r="D13" s="1934" t="s">
        <v>899</v>
      </c>
      <c r="E13" s="1935">
        <v>104124</v>
      </c>
      <c r="F13" s="1936">
        <v>45000</v>
      </c>
      <c r="G13" s="1937">
        <f t="shared" ref="G13:G15" si="3">E13+F13</f>
        <v>149124</v>
      </c>
      <c r="H13" s="1938"/>
      <c r="I13" s="1939"/>
      <c r="J13" s="2116">
        <f t="shared" si="1"/>
        <v>0</v>
      </c>
      <c r="K13" s="337">
        <f>'Rashodi i izdaci-poseban dio'!U371</f>
        <v>0</v>
      </c>
      <c r="L13" s="337">
        <f t="shared" si="2"/>
        <v>0</v>
      </c>
      <c r="M13" s="338"/>
      <c r="N13" s="338"/>
      <c r="O13" s="338"/>
      <c r="P13" s="703">
        <f>'Slu izg inf stru ob Ka gran 8 '!F5</f>
        <v>824357</v>
      </c>
      <c r="Q13" s="338"/>
    </row>
    <row r="14" spans="1:17" ht="99.95" customHeight="1">
      <c r="A14" s="2112">
        <v>9</v>
      </c>
      <c r="B14" s="2424"/>
      <c r="C14" s="2428" t="s">
        <v>1194</v>
      </c>
      <c r="D14" s="1934" t="s">
        <v>901</v>
      </c>
      <c r="E14" s="1935">
        <v>393194.5</v>
      </c>
      <c r="F14" s="1936"/>
      <c r="G14" s="1937">
        <f t="shared" si="3"/>
        <v>393194.5</v>
      </c>
      <c r="H14" s="1938"/>
      <c r="I14" s="1939"/>
      <c r="J14" s="2116">
        <f t="shared" si="1"/>
        <v>0</v>
      </c>
      <c r="K14" s="337"/>
      <c r="L14" s="337">
        <f t="shared" si="2"/>
        <v>0</v>
      </c>
      <c r="M14" s="688">
        <f>'Slu izg inf stru ob Ka gran 8 '!E12</f>
        <v>0</v>
      </c>
      <c r="P14" s="688">
        <f>SUM(P5:P13)</f>
        <v>6599999.9199999999</v>
      </c>
    </row>
    <row r="15" spans="1:17" ht="99.95" customHeight="1">
      <c r="A15" s="2112">
        <v>10</v>
      </c>
      <c r="B15" s="2423">
        <v>821111</v>
      </c>
      <c r="C15" s="2428" t="s">
        <v>902</v>
      </c>
      <c r="D15" s="1934" t="s">
        <v>899</v>
      </c>
      <c r="E15" s="1935">
        <v>24520</v>
      </c>
      <c r="F15" s="1936"/>
      <c r="G15" s="1937">
        <f t="shared" si="3"/>
        <v>24520</v>
      </c>
      <c r="H15" s="1938"/>
      <c r="I15" s="1939"/>
      <c r="J15" s="2116">
        <f t="shared" si="1"/>
        <v>0</v>
      </c>
      <c r="K15" s="337"/>
      <c r="L15" s="337">
        <f t="shared" si="2"/>
        <v>0</v>
      </c>
      <c r="P15" s="688">
        <v>6600000</v>
      </c>
    </row>
    <row r="16" spans="1:17" ht="99.95" customHeight="1">
      <c r="A16" s="3438">
        <v>11</v>
      </c>
      <c r="B16" s="3436">
        <v>821224</v>
      </c>
      <c r="C16" s="3440" t="s">
        <v>903</v>
      </c>
      <c r="D16" s="1934" t="s">
        <v>899</v>
      </c>
      <c r="E16" s="1935">
        <v>130258.55</v>
      </c>
      <c r="F16" s="1936">
        <v>1500000</v>
      </c>
      <c r="G16" s="3439">
        <f>SUM(E16:F17)</f>
        <v>1635258.55</v>
      </c>
      <c r="H16" s="1938"/>
      <c r="I16" s="1939"/>
      <c r="J16" s="2116">
        <f t="shared" si="1"/>
        <v>0</v>
      </c>
      <c r="K16" s="337"/>
      <c r="L16" s="337">
        <f t="shared" si="2"/>
        <v>-5000</v>
      </c>
      <c r="M16" s="1004">
        <f>'Rashodi i izdaci-poseban dio'!U370</f>
        <v>0</v>
      </c>
      <c r="N16" s="688">
        <f>F5-M16</f>
        <v>3875642.92</v>
      </c>
      <c r="P16" s="688">
        <f>P15-P14</f>
        <v>8.0000000074505806E-2</v>
      </c>
    </row>
    <row r="17" spans="1:16" ht="99.95" customHeight="1">
      <c r="A17" s="3438"/>
      <c r="B17" s="3437"/>
      <c r="C17" s="3440"/>
      <c r="D17" s="1934" t="s">
        <v>904</v>
      </c>
      <c r="E17" s="1935">
        <v>5000</v>
      </c>
      <c r="F17" s="1936"/>
      <c r="G17" s="3439"/>
      <c r="H17" s="1938"/>
      <c r="I17" s="1939"/>
      <c r="J17" s="2116">
        <f t="shared" si="1"/>
        <v>0</v>
      </c>
      <c r="K17" s="337"/>
      <c r="L17" s="337">
        <f t="shared" si="2"/>
        <v>5000</v>
      </c>
      <c r="M17" s="1004">
        <f>'Rashodi i izdaci-poseban dio'!U371</f>
        <v>0</v>
      </c>
      <c r="N17" s="688">
        <f>E5-M17</f>
        <v>3485150.53</v>
      </c>
      <c r="P17" s="688"/>
    </row>
    <row r="18" spans="1:16" ht="99.95" customHeight="1">
      <c r="A18" s="1942">
        <v>12</v>
      </c>
      <c r="B18" s="2423">
        <v>821231</v>
      </c>
      <c r="C18" s="2428" t="s">
        <v>905</v>
      </c>
      <c r="D18" s="1934" t="s">
        <v>899</v>
      </c>
      <c r="E18" s="1935">
        <v>5982</v>
      </c>
      <c r="F18" s="1936"/>
      <c r="G18" s="1937">
        <f>E18+F18</f>
        <v>5982</v>
      </c>
      <c r="H18" s="1938"/>
      <c r="I18" s="1939"/>
      <c r="J18" s="2116">
        <f t="shared" si="1"/>
        <v>0</v>
      </c>
      <c r="K18" s="337"/>
      <c r="L18" s="337">
        <f t="shared" si="2"/>
        <v>0</v>
      </c>
      <c r="M18" s="1003"/>
      <c r="P18" s="688"/>
    </row>
    <row r="19" spans="1:16" ht="99.95" customHeight="1">
      <c r="A19" s="2106">
        <v>13</v>
      </c>
      <c r="B19" s="2464">
        <v>821612</v>
      </c>
      <c r="C19" s="2428" t="s">
        <v>906</v>
      </c>
      <c r="D19" s="1934" t="s">
        <v>907</v>
      </c>
      <c r="E19" s="1935">
        <v>34024</v>
      </c>
      <c r="F19" s="1936">
        <v>210154</v>
      </c>
      <c r="G19" s="1937">
        <f>SUM(E19:F19)</f>
        <v>244178</v>
      </c>
      <c r="H19" s="1938"/>
      <c r="I19" s="1939"/>
      <c r="J19" s="1940">
        <f>SUM(H19:I19)</f>
        <v>0</v>
      </c>
      <c r="K19" s="337"/>
      <c r="L19" s="337">
        <f t="shared" si="2"/>
        <v>0</v>
      </c>
      <c r="M19" s="1003"/>
    </row>
    <row r="20" spans="1:16" ht="99.95" customHeight="1">
      <c r="A20" s="2106">
        <v>14</v>
      </c>
      <c r="B20" s="2423">
        <v>821211</v>
      </c>
      <c r="C20" s="2470" t="s">
        <v>1715</v>
      </c>
      <c r="D20" s="1934" t="s">
        <v>899</v>
      </c>
      <c r="E20" s="1935">
        <v>261606</v>
      </c>
      <c r="F20" s="1936">
        <v>230000</v>
      </c>
      <c r="G20" s="1937">
        <f>E20+F20</f>
        <v>491606</v>
      </c>
      <c r="H20" s="1938"/>
      <c r="I20" s="1939">
        <v>350000</v>
      </c>
      <c r="J20" s="1940">
        <f>H20+I20</f>
        <v>350000</v>
      </c>
      <c r="K20" s="337"/>
      <c r="L20" s="337">
        <f t="shared" si="2"/>
        <v>0</v>
      </c>
    </row>
    <row r="21" spans="1:16" ht="99.95" customHeight="1">
      <c r="A21" s="2106">
        <v>15</v>
      </c>
      <c r="B21" s="2423">
        <v>821222</v>
      </c>
      <c r="C21" s="2471" t="s">
        <v>908</v>
      </c>
      <c r="D21" s="1934" t="s">
        <v>899</v>
      </c>
      <c r="E21" s="1935">
        <v>10000</v>
      </c>
      <c r="F21" s="1936"/>
      <c r="G21" s="1937">
        <f t="shared" ref="G21:G24" si="4">E21+F21</f>
        <v>10000</v>
      </c>
      <c r="H21" s="1938"/>
      <c r="I21" s="1939"/>
      <c r="J21" s="1940">
        <f t="shared" ref="J21:J24" si="5">H21+I21</f>
        <v>0</v>
      </c>
      <c r="K21" s="337"/>
      <c r="L21" s="337">
        <f t="shared" si="2"/>
        <v>0</v>
      </c>
    </row>
    <row r="22" spans="1:16" ht="99.95" customHeight="1">
      <c r="A22" s="2106">
        <v>16</v>
      </c>
      <c r="B22" s="2423">
        <v>821211</v>
      </c>
      <c r="C22" s="2428" t="s">
        <v>909</v>
      </c>
      <c r="D22" s="1934" t="s">
        <v>899</v>
      </c>
      <c r="E22" s="1935">
        <v>20000</v>
      </c>
      <c r="F22" s="1936"/>
      <c r="G22" s="1937">
        <f t="shared" si="4"/>
        <v>20000</v>
      </c>
      <c r="H22" s="1938"/>
      <c r="I22" s="1939"/>
      <c r="J22" s="1940">
        <f t="shared" si="5"/>
        <v>0</v>
      </c>
      <c r="K22" s="337"/>
      <c r="L22" s="337">
        <f t="shared" si="2"/>
        <v>0</v>
      </c>
    </row>
    <row r="23" spans="1:16" ht="99.95" customHeight="1">
      <c r="A23" s="2106">
        <v>17</v>
      </c>
      <c r="B23" s="2423">
        <v>821222</v>
      </c>
      <c r="C23" s="2428" t="s">
        <v>910</v>
      </c>
      <c r="D23" s="1934" t="s">
        <v>899</v>
      </c>
      <c r="E23" s="1935">
        <v>32322</v>
      </c>
      <c r="F23" s="1936"/>
      <c r="G23" s="1937">
        <f t="shared" si="4"/>
        <v>32322</v>
      </c>
      <c r="H23" s="1938"/>
      <c r="I23" s="1939"/>
      <c r="J23" s="1940">
        <f t="shared" si="5"/>
        <v>0</v>
      </c>
      <c r="K23" s="337"/>
      <c r="L23" s="337">
        <f t="shared" si="2"/>
        <v>0</v>
      </c>
    </row>
    <row r="24" spans="1:16" ht="99.95" customHeight="1">
      <c r="A24" s="2106">
        <v>18</v>
      </c>
      <c r="B24" s="2423">
        <v>821222</v>
      </c>
      <c r="C24" s="2428" t="s">
        <v>911</v>
      </c>
      <c r="D24" s="1934" t="s">
        <v>899</v>
      </c>
      <c r="E24" s="1935">
        <v>454254</v>
      </c>
      <c r="F24" s="1936"/>
      <c r="G24" s="1937">
        <f t="shared" si="4"/>
        <v>454254</v>
      </c>
      <c r="H24" s="1938"/>
      <c r="I24" s="1939"/>
      <c r="J24" s="1940">
        <f t="shared" si="5"/>
        <v>0</v>
      </c>
      <c r="K24" s="337"/>
      <c r="L24" s="337">
        <f t="shared" si="2"/>
        <v>0</v>
      </c>
    </row>
    <row r="25" spans="1:16" ht="99.95" customHeight="1">
      <c r="A25" s="2106">
        <v>19</v>
      </c>
      <c r="B25" s="2423">
        <v>821224</v>
      </c>
      <c r="C25" s="2472" t="s">
        <v>912</v>
      </c>
      <c r="D25" s="1934" t="s">
        <v>899</v>
      </c>
      <c r="E25" s="1935">
        <v>147797</v>
      </c>
      <c r="F25" s="1936">
        <v>150000</v>
      </c>
      <c r="G25" s="1937">
        <f>SUM(E25:F25)</f>
        <v>297797</v>
      </c>
      <c r="H25" s="1938"/>
      <c r="I25" s="1939">
        <v>110000</v>
      </c>
      <c r="J25" s="1940">
        <f>SUM(H25:I25)</f>
        <v>110000</v>
      </c>
      <c r="K25" s="337"/>
      <c r="L25" s="337">
        <f t="shared" si="2"/>
        <v>0</v>
      </c>
    </row>
    <row r="26" spans="1:16" ht="99.95" customHeight="1">
      <c r="A26" s="2106">
        <v>20</v>
      </c>
      <c r="B26" s="2424"/>
      <c r="C26" s="2428" t="s">
        <v>913</v>
      </c>
      <c r="D26" s="1934" t="s">
        <v>899</v>
      </c>
      <c r="E26" s="1935">
        <v>120000</v>
      </c>
      <c r="F26" s="1943"/>
      <c r="G26" s="1937">
        <f t="shared" ref="G26:G44" si="6">E26+F26</f>
        <v>120000</v>
      </c>
      <c r="H26" s="1938"/>
      <c r="I26" s="1944"/>
      <c r="J26" s="1940">
        <f t="shared" ref="J26:J44" si="7">H26+I26</f>
        <v>0</v>
      </c>
      <c r="K26" s="337"/>
      <c r="L26" s="337">
        <f t="shared" si="2"/>
        <v>0</v>
      </c>
    </row>
    <row r="27" spans="1:16" ht="99.95" customHeight="1">
      <c r="A27" s="2106">
        <v>21</v>
      </c>
      <c r="B27" s="2423"/>
      <c r="C27" s="2428" t="s">
        <v>1183</v>
      </c>
      <c r="D27" s="1934" t="s">
        <v>899</v>
      </c>
      <c r="E27" s="1935">
        <v>89032</v>
      </c>
      <c r="F27" s="1936"/>
      <c r="G27" s="1937">
        <f t="shared" si="6"/>
        <v>89032</v>
      </c>
      <c r="H27" s="1938"/>
      <c r="I27" s="1939"/>
      <c r="J27" s="1940">
        <f t="shared" si="7"/>
        <v>0</v>
      </c>
      <c r="K27" s="337"/>
      <c r="L27" s="337">
        <f t="shared" si="2"/>
        <v>0</v>
      </c>
    </row>
    <row r="28" spans="1:16" ht="99.95" customHeight="1">
      <c r="A28" s="2106">
        <v>22</v>
      </c>
      <c r="B28" s="2423">
        <v>821513</v>
      </c>
      <c r="C28" s="2428" t="s">
        <v>914</v>
      </c>
      <c r="D28" s="1934" t="s">
        <v>899</v>
      </c>
      <c r="E28" s="1935">
        <v>53214</v>
      </c>
      <c r="F28" s="1936"/>
      <c r="G28" s="1937">
        <f t="shared" si="6"/>
        <v>53214</v>
      </c>
      <c r="H28" s="1938"/>
      <c r="I28" s="1939"/>
      <c r="J28" s="1940">
        <f t="shared" si="7"/>
        <v>0</v>
      </c>
      <c r="K28" s="337"/>
      <c r="L28" s="337">
        <f t="shared" si="2"/>
        <v>0</v>
      </c>
    </row>
    <row r="29" spans="1:16" ht="99.95" customHeight="1">
      <c r="A29" s="2106">
        <v>23</v>
      </c>
      <c r="B29" s="2423">
        <v>821111</v>
      </c>
      <c r="C29" s="2428" t="s">
        <v>915</v>
      </c>
      <c r="D29" s="1934" t="s">
        <v>899</v>
      </c>
      <c r="E29" s="1935">
        <v>21500</v>
      </c>
      <c r="F29" s="1936"/>
      <c r="G29" s="1937">
        <f t="shared" si="6"/>
        <v>21500</v>
      </c>
      <c r="H29" s="1938"/>
      <c r="I29" s="1939"/>
      <c r="J29" s="1940">
        <f t="shared" si="7"/>
        <v>0</v>
      </c>
      <c r="K29" s="337"/>
      <c r="L29" s="337">
        <f t="shared" si="2"/>
        <v>0</v>
      </c>
    </row>
    <row r="30" spans="1:16" ht="99.95" customHeight="1">
      <c r="A30" s="2106">
        <v>24</v>
      </c>
      <c r="B30" s="2424"/>
      <c r="C30" s="2428" t="s">
        <v>916</v>
      </c>
      <c r="D30" s="1934" t="s">
        <v>899</v>
      </c>
      <c r="E30" s="1935">
        <v>13907</v>
      </c>
      <c r="F30" s="1936"/>
      <c r="G30" s="1937">
        <f t="shared" si="6"/>
        <v>13907</v>
      </c>
      <c r="H30" s="1938"/>
      <c r="I30" s="1939"/>
      <c r="J30" s="1940">
        <f t="shared" si="7"/>
        <v>0</v>
      </c>
      <c r="K30" s="337"/>
      <c r="L30" s="337">
        <f t="shared" si="2"/>
        <v>0</v>
      </c>
    </row>
    <row r="31" spans="1:16" ht="99.95" customHeight="1">
      <c r="A31" s="2106">
        <v>25</v>
      </c>
      <c r="B31" s="2423"/>
      <c r="C31" s="2428" t="s">
        <v>917</v>
      </c>
      <c r="D31" s="1934" t="s">
        <v>899</v>
      </c>
      <c r="E31" s="1935">
        <v>4404</v>
      </c>
      <c r="F31" s="1936"/>
      <c r="G31" s="1937">
        <f t="shared" si="6"/>
        <v>4404</v>
      </c>
      <c r="H31" s="1938"/>
      <c r="I31" s="1939"/>
      <c r="J31" s="1940">
        <f t="shared" si="7"/>
        <v>0</v>
      </c>
      <c r="K31" s="337"/>
      <c r="L31" s="337">
        <f t="shared" si="2"/>
        <v>0</v>
      </c>
    </row>
    <row r="32" spans="1:16" ht="99.95" customHeight="1">
      <c r="A32" s="2106">
        <v>26</v>
      </c>
      <c r="B32" s="2423"/>
      <c r="C32" s="2428" t="s">
        <v>918</v>
      </c>
      <c r="D32" s="1934" t="s">
        <v>899</v>
      </c>
      <c r="E32" s="1935">
        <v>5000</v>
      </c>
      <c r="F32" s="1936"/>
      <c r="G32" s="1937">
        <f t="shared" si="6"/>
        <v>5000</v>
      </c>
      <c r="H32" s="1938"/>
      <c r="I32" s="1939"/>
      <c r="J32" s="1940">
        <f t="shared" si="7"/>
        <v>0</v>
      </c>
      <c r="K32" s="337"/>
      <c r="L32" s="337">
        <f t="shared" si="2"/>
        <v>0</v>
      </c>
    </row>
    <row r="33" spans="1:17" ht="99.95" customHeight="1">
      <c r="A33" s="2106">
        <v>27</v>
      </c>
      <c r="B33" s="2423">
        <v>821221</v>
      </c>
      <c r="C33" s="2473" t="s">
        <v>1071</v>
      </c>
      <c r="D33" s="1934"/>
      <c r="E33" s="1935">
        <v>28858</v>
      </c>
      <c r="F33" s="1936"/>
      <c r="G33" s="1937">
        <f t="shared" si="6"/>
        <v>28858</v>
      </c>
      <c r="H33" s="1938"/>
      <c r="I33" s="1939"/>
      <c r="J33" s="1940">
        <f t="shared" si="7"/>
        <v>0</v>
      </c>
      <c r="K33" s="337"/>
      <c r="L33" s="337">
        <f t="shared" si="2"/>
        <v>0</v>
      </c>
    </row>
    <row r="34" spans="1:17" ht="99.95" customHeight="1">
      <c r="A34" s="2106">
        <v>28</v>
      </c>
      <c r="B34" s="2423">
        <v>821224</v>
      </c>
      <c r="C34" s="2428" t="s">
        <v>919</v>
      </c>
      <c r="D34" s="1934" t="s">
        <v>899</v>
      </c>
      <c r="E34" s="1935">
        <v>1406</v>
      </c>
      <c r="F34" s="1936">
        <v>100000</v>
      </c>
      <c r="G34" s="1937">
        <f t="shared" si="6"/>
        <v>101406</v>
      </c>
      <c r="H34" s="1938"/>
      <c r="I34" s="1939"/>
      <c r="J34" s="1940">
        <f t="shared" si="7"/>
        <v>0</v>
      </c>
      <c r="K34" s="337"/>
      <c r="L34" s="337">
        <f t="shared" si="2"/>
        <v>0</v>
      </c>
    </row>
    <row r="35" spans="1:17" ht="99.95" customHeight="1">
      <c r="A35" s="2106">
        <v>29</v>
      </c>
      <c r="B35" s="2424"/>
      <c r="C35" s="2428" t="s">
        <v>920</v>
      </c>
      <c r="D35" s="1934" t="s">
        <v>899</v>
      </c>
      <c r="E35" s="1935">
        <v>10000</v>
      </c>
      <c r="F35" s="1936"/>
      <c r="G35" s="1937">
        <f t="shared" si="6"/>
        <v>10000</v>
      </c>
      <c r="H35" s="1938"/>
      <c r="I35" s="1939"/>
      <c r="J35" s="1940">
        <f t="shared" si="7"/>
        <v>0</v>
      </c>
      <c r="K35" s="337"/>
      <c r="L35" s="337">
        <f t="shared" si="2"/>
        <v>0</v>
      </c>
    </row>
    <row r="36" spans="1:17" ht="99.95" customHeight="1">
      <c r="A36" s="2106">
        <v>30</v>
      </c>
      <c r="B36" s="2424"/>
      <c r="C36" s="2428" t="s">
        <v>921</v>
      </c>
      <c r="D36" s="1934" t="s">
        <v>899</v>
      </c>
      <c r="E36" s="1935">
        <v>22000</v>
      </c>
      <c r="F36" s="1936"/>
      <c r="G36" s="1937">
        <f t="shared" si="6"/>
        <v>22000</v>
      </c>
      <c r="H36" s="1938"/>
      <c r="I36" s="1939"/>
      <c r="J36" s="1940">
        <f t="shared" si="7"/>
        <v>0</v>
      </c>
      <c r="K36" s="337"/>
      <c r="L36" s="337">
        <f t="shared" si="2"/>
        <v>0</v>
      </c>
    </row>
    <row r="37" spans="1:17" ht="99.95" customHeight="1">
      <c r="A37" s="2106">
        <v>31</v>
      </c>
      <c r="B37" s="2423">
        <v>821211</v>
      </c>
      <c r="C37" s="2428" t="s">
        <v>922</v>
      </c>
      <c r="D37" s="1934" t="s">
        <v>899</v>
      </c>
      <c r="E37" s="1935">
        <v>190824</v>
      </c>
      <c r="F37" s="1936"/>
      <c r="G37" s="1937">
        <f t="shared" si="6"/>
        <v>190824</v>
      </c>
      <c r="H37" s="1938"/>
      <c r="I37" s="1939"/>
      <c r="J37" s="1940">
        <f t="shared" si="7"/>
        <v>0</v>
      </c>
      <c r="K37" s="337"/>
      <c r="L37" s="337">
        <f t="shared" si="2"/>
        <v>0</v>
      </c>
    </row>
    <row r="38" spans="1:17" ht="99.95" customHeight="1">
      <c r="A38" s="2106">
        <v>32</v>
      </c>
      <c r="B38" s="2423">
        <v>821211</v>
      </c>
      <c r="C38" s="2428" t="s">
        <v>923</v>
      </c>
      <c r="D38" s="1934" t="s">
        <v>899</v>
      </c>
      <c r="E38" s="1935">
        <v>59367</v>
      </c>
      <c r="F38" s="1936"/>
      <c r="G38" s="1937">
        <f t="shared" si="6"/>
        <v>59367</v>
      </c>
      <c r="H38" s="1938"/>
      <c r="I38" s="1939"/>
      <c r="J38" s="1940">
        <f t="shared" si="7"/>
        <v>0</v>
      </c>
      <c r="K38" s="337"/>
      <c r="L38" s="337">
        <f t="shared" si="2"/>
        <v>0</v>
      </c>
    </row>
    <row r="39" spans="1:17" ht="99.95" customHeight="1">
      <c r="A39" s="2106">
        <v>33</v>
      </c>
      <c r="B39" s="2423">
        <v>821224</v>
      </c>
      <c r="C39" s="2428" t="s">
        <v>924</v>
      </c>
      <c r="D39" s="1934" t="s">
        <v>899</v>
      </c>
      <c r="E39" s="1935">
        <v>40000</v>
      </c>
      <c r="F39" s="1936"/>
      <c r="G39" s="1937">
        <f t="shared" si="6"/>
        <v>40000</v>
      </c>
      <c r="H39" s="1938"/>
      <c r="I39" s="1939"/>
      <c r="J39" s="1940">
        <f t="shared" si="7"/>
        <v>0</v>
      </c>
      <c r="K39" s="337"/>
      <c r="L39" s="337">
        <f t="shared" si="2"/>
        <v>0</v>
      </c>
    </row>
    <row r="40" spans="1:17" ht="99.95" customHeight="1">
      <c r="A40" s="2106">
        <v>34</v>
      </c>
      <c r="B40" s="2423">
        <v>821224</v>
      </c>
      <c r="C40" s="2428" t="s">
        <v>925</v>
      </c>
      <c r="D40" s="1934" t="s">
        <v>899</v>
      </c>
      <c r="E40" s="1945">
        <v>58789</v>
      </c>
      <c r="F40" s="1946">
        <v>11700</v>
      </c>
      <c r="G40" s="1937">
        <f t="shared" si="6"/>
        <v>70489</v>
      </c>
      <c r="H40" s="1947"/>
      <c r="I40" s="1948"/>
      <c r="J40" s="1940">
        <f t="shared" si="7"/>
        <v>0</v>
      </c>
      <c r="K40" s="337"/>
      <c r="L40" s="337">
        <f t="shared" si="2"/>
        <v>0</v>
      </c>
    </row>
    <row r="41" spans="1:17" s="732" customFormat="1" ht="99.95" customHeight="1">
      <c r="A41" s="2106">
        <v>35</v>
      </c>
      <c r="B41" s="2465"/>
      <c r="C41" s="2428" t="s">
        <v>926</v>
      </c>
      <c r="D41" s="1934" t="s">
        <v>899</v>
      </c>
      <c r="E41" s="1945"/>
      <c r="F41" s="1936"/>
      <c r="G41" s="1937">
        <f t="shared" si="6"/>
        <v>0</v>
      </c>
      <c r="H41" s="1947"/>
      <c r="I41" s="1939"/>
      <c r="J41" s="1940">
        <f t="shared" si="7"/>
        <v>0</v>
      </c>
      <c r="K41" s="730"/>
      <c r="L41" s="730">
        <f t="shared" si="2"/>
        <v>0</v>
      </c>
      <c r="M41" s="731"/>
      <c r="N41" s="731"/>
      <c r="O41" s="731"/>
      <c r="P41" s="731"/>
      <c r="Q41" s="731"/>
    </row>
    <row r="42" spans="1:17" ht="99.95" customHeight="1">
      <c r="A42" s="2106">
        <v>36</v>
      </c>
      <c r="B42" s="2424"/>
      <c r="C42" s="2428" t="s">
        <v>927</v>
      </c>
      <c r="D42" s="1934" t="s">
        <v>899</v>
      </c>
      <c r="E42" s="1935">
        <v>63860</v>
      </c>
      <c r="F42" s="1936">
        <v>1611.92</v>
      </c>
      <c r="G42" s="1937">
        <f t="shared" si="6"/>
        <v>65471.92</v>
      </c>
      <c r="H42" s="1938"/>
      <c r="I42" s="1939">
        <v>50000</v>
      </c>
      <c r="J42" s="1940">
        <f t="shared" si="7"/>
        <v>50000</v>
      </c>
      <c r="K42" s="730"/>
      <c r="L42" s="337">
        <f t="shared" si="2"/>
        <v>0</v>
      </c>
    </row>
    <row r="43" spans="1:17" ht="99.95" customHeight="1">
      <c r="A43" s="2106">
        <v>37</v>
      </c>
      <c r="B43" s="2423">
        <v>821211</v>
      </c>
      <c r="C43" s="2428" t="s">
        <v>928</v>
      </c>
      <c r="D43" s="1934" t="s">
        <v>899</v>
      </c>
      <c r="E43" s="1935">
        <v>155456.45000000001</v>
      </c>
      <c r="F43" s="1936"/>
      <c r="G43" s="1937">
        <f t="shared" si="6"/>
        <v>155456.45000000001</v>
      </c>
      <c r="H43" s="1938"/>
      <c r="I43" s="1939"/>
      <c r="J43" s="1940">
        <f t="shared" si="7"/>
        <v>0</v>
      </c>
      <c r="K43" s="337"/>
      <c r="L43" s="337">
        <f t="shared" si="2"/>
        <v>0</v>
      </c>
    </row>
    <row r="44" spans="1:17" ht="99.95" customHeight="1">
      <c r="A44" s="2106">
        <v>38</v>
      </c>
      <c r="B44" s="2423"/>
      <c r="C44" s="2428" t="s">
        <v>929</v>
      </c>
      <c r="D44" s="1934" t="s">
        <v>899</v>
      </c>
      <c r="E44" s="1935">
        <v>127730</v>
      </c>
      <c r="F44" s="1936"/>
      <c r="G44" s="1937">
        <f t="shared" si="6"/>
        <v>127730</v>
      </c>
      <c r="H44" s="1938"/>
      <c r="I44" s="1939"/>
      <c r="J44" s="1940">
        <f t="shared" si="7"/>
        <v>0</v>
      </c>
      <c r="K44" s="337"/>
      <c r="L44" s="337">
        <f t="shared" si="2"/>
        <v>0</v>
      </c>
      <c r="M44" s="327">
        <v>10000</v>
      </c>
    </row>
    <row r="45" spans="1:17" ht="99.95" customHeight="1">
      <c r="A45" s="2106">
        <v>39</v>
      </c>
      <c r="B45" s="2466">
        <v>821222</v>
      </c>
      <c r="C45" s="2428" t="s">
        <v>930</v>
      </c>
      <c r="D45" s="1934" t="s">
        <v>899</v>
      </c>
      <c r="E45" s="1935">
        <v>8575.2800000000007</v>
      </c>
      <c r="F45" s="1936"/>
      <c r="G45" s="1949">
        <f>SUM(E45:F45)</f>
        <v>8575.2800000000007</v>
      </c>
      <c r="H45" s="1938"/>
      <c r="I45" s="1939"/>
      <c r="J45" s="1950">
        <f>SUM(H45:I45)</f>
        <v>0</v>
      </c>
      <c r="K45" s="337"/>
      <c r="L45" s="337">
        <f t="shared" si="2"/>
        <v>0</v>
      </c>
      <c r="M45" s="327">
        <v>6500</v>
      </c>
      <c r="P45" s="327">
        <v>80360</v>
      </c>
    </row>
    <row r="46" spans="1:17" ht="99.95" customHeight="1">
      <c r="A46" s="2106">
        <v>40</v>
      </c>
      <c r="B46" s="2467">
        <v>821222</v>
      </c>
      <c r="C46" s="2428" t="s">
        <v>931</v>
      </c>
      <c r="D46" s="1934" t="s">
        <v>899</v>
      </c>
      <c r="E46" s="1935">
        <v>34151</v>
      </c>
      <c r="F46" s="1951">
        <v>333643</v>
      </c>
      <c r="G46" s="1937">
        <f>SUM(E46:F46)</f>
        <v>367794</v>
      </c>
      <c r="H46" s="1938"/>
      <c r="I46" s="1952"/>
      <c r="J46" s="1940">
        <f>SUM(H46:I46)</f>
        <v>0</v>
      </c>
      <c r="K46" s="337"/>
      <c r="L46" s="337">
        <f t="shared" si="2"/>
        <v>0</v>
      </c>
      <c r="M46" s="327">
        <f>SUM(M43:M45)</f>
        <v>16500</v>
      </c>
      <c r="P46" s="327">
        <f>P45-M46</f>
        <v>63860</v>
      </c>
    </row>
    <row r="47" spans="1:17" ht="99.95" customHeight="1">
      <c r="A47" s="2106">
        <v>41</v>
      </c>
      <c r="B47" s="2423">
        <v>821211</v>
      </c>
      <c r="C47" s="2428" t="s">
        <v>932</v>
      </c>
      <c r="D47" s="1934" t="s">
        <v>899</v>
      </c>
      <c r="E47" s="1935">
        <v>200000</v>
      </c>
      <c r="F47" s="1936">
        <v>200000</v>
      </c>
      <c r="G47" s="1937">
        <f t="shared" ref="G47:G54" si="8">E47+F47</f>
        <v>400000</v>
      </c>
      <c r="H47" s="1938"/>
      <c r="I47" s="1939"/>
      <c r="J47" s="1940">
        <f t="shared" ref="J47:J54" si="9">H47+I47</f>
        <v>0</v>
      </c>
      <c r="K47" s="337"/>
      <c r="L47" s="337">
        <f t="shared" si="2"/>
        <v>0</v>
      </c>
      <c r="M47" s="688">
        <f>E42-M46</f>
        <v>47360</v>
      </c>
    </row>
    <row r="48" spans="1:17" ht="99.95" customHeight="1">
      <c r="A48" s="2106">
        <v>42</v>
      </c>
      <c r="B48" s="2423">
        <v>821211</v>
      </c>
      <c r="C48" s="2474" t="s">
        <v>933</v>
      </c>
      <c r="D48" s="1934" t="s">
        <v>899</v>
      </c>
      <c r="E48" s="1935">
        <v>200000</v>
      </c>
      <c r="F48" s="1936">
        <v>100000</v>
      </c>
      <c r="G48" s="1937">
        <f t="shared" si="8"/>
        <v>300000</v>
      </c>
      <c r="H48" s="1938"/>
      <c r="I48" s="1939"/>
      <c r="J48" s="1940">
        <f t="shared" si="9"/>
        <v>0</v>
      </c>
      <c r="K48" s="337"/>
      <c r="L48" s="337">
        <f t="shared" si="2"/>
        <v>0</v>
      </c>
    </row>
    <row r="49" spans="1:17" ht="99.95" customHeight="1">
      <c r="A49" s="2106">
        <v>43</v>
      </c>
      <c r="B49" s="2423"/>
      <c r="C49" s="2428" t="s">
        <v>934</v>
      </c>
      <c r="D49" s="1934" t="s">
        <v>899</v>
      </c>
      <c r="E49" s="1935"/>
      <c r="F49" s="1936">
        <v>15000</v>
      </c>
      <c r="G49" s="1937">
        <f t="shared" si="8"/>
        <v>15000</v>
      </c>
      <c r="H49" s="1938"/>
      <c r="I49" s="1939"/>
      <c r="J49" s="1940">
        <f t="shared" si="9"/>
        <v>0</v>
      </c>
      <c r="K49" s="337"/>
      <c r="L49" s="337">
        <f t="shared" si="2"/>
        <v>0</v>
      </c>
    </row>
    <row r="50" spans="1:17" ht="99.95" customHeight="1">
      <c r="A50" s="2106">
        <v>44</v>
      </c>
      <c r="B50" s="2423">
        <v>821221</v>
      </c>
      <c r="C50" s="2428" t="s">
        <v>935</v>
      </c>
      <c r="D50" s="1934" t="s">
        <v>899</v>
      </c>
      <c r="E50" s="1935"/>
      <c r="F50" s="1936">
        <v>25000</v>
      </c>
      <c r="G50" s="1937">
        <f t="shared" si="8"/>
        <v>25000</v>
      </c>
      <c r="H50" s="1938"/>
      <c r="I50" s="1939"/>
      <c r="J50" s="1940">
        <f t="shared" si="9"/>
        <v>0</v>
      </c>
      <c r="K50" s="337"/>
      <c r="L50" s="337">
        <f t="shared" si="2"/>
        <v>0</v>
      </c>
    </row>
    <row r="51" spans="1:17" ht="99.95" customHeight="1">
      <c r="A51" s="2106">
        <v>45</v>
      </c>
      <c r="B51" s="2423">
        <v>821221</v>
      </c>
      <c r="C51" s="2428" t="s">
        <v>936</v>
      </c>
      <c r="D51" s="1934" t="s">
        <v>899</v>
      </c>
      <c r="E51" s="1935">
        <v>30000</v>
      </c>
      <c r="F51" s="1936"/>
      <c r="G51" s="1937">
        <f t="shared" si="8"/>
        <v>30000</v>
      </c>
      <c r="H51" s="1938"/>
      <c r="I51" s="1939"/>
      <c r="J51" s="1940">
        <f t="shared" si="9"/>
        <v>0</v>
      </c>
      <c r="K51" s="337"/>
      <c r="L51" s="337">
        <f t="shared" si="2"/>
        <v>0</v>
      </c>
    </row>
    <row r="52" spans="1:17" ht="99.95" customHeight="1">
      <c r="A52" s="2106">
        <v>46</v>
      </c>
      <c r="B52" s="2423">
        <v>821224</v>
      </c>
      <c r="C52" s="2428" t="s">
        <v>937</v>
      </c>
      <c r="D52" s="1934" t="s">
        <v>899</v>
      </c>
      <c r="E52" s="1935">
        <v>15000</v>
      </c>
      <c r="F52" s="1936"/>
      <c r="G52" s="1937">
        <f t="shared" si="8"/>
        <v>15000</v>
      </c>
      <c r="H52" s="1938"/>
      <c r="I52" s="1939"/>
      <c r="J52" s="1940">
        <f t="shared" si="9"/>
        <v>0</v>
      </c>
      <c r="K52" s="337"/>
      <c r="L52" s="337">
        <f t="shared" si="2"/>
        <v>0</v>
      </c>
    </row>
    <row r="53" spans="1:17" ht="99.95" customHeight="1">
      <c r="A53" s="2106">
        <v>47</v>
      </c>
      <c r="B53" s="2423">
        <v>821222</v>
      </c>
      <c r="C53" s="2428" t="s">
        <v>938</v>
      </c>
      <c r="D53" s="1934" t="s">
        <v>899</v>
      </c>
      <c r="E53" s="1935">
        <v>259.20999999999998</v>
      </c>
      <c r="F53" s="1936">
        <v>55000</v>
      </c>
      <c r="G53" s="1937">
        <f t="shared" si="8"/>
        <v>55259.21</v>
      </c>
      <c r="H53" s="1938"/>
      <c r="I53" s="1939"/>
      <c r="J53" s="1940">
        <f t="shared" si="9"/>
        <v>0</v>
      </c>
      <c r="K53" s="337"/>
      <c r="L53" s="337">
        <f t="shared" si="2"/>
        <v>0</v>
      </c>
    </row>
    <row r="54" spans="1:17" ht="99.95" customHeight="1">
      <c r="A54" s="2106">
        <v>48</v>
      </c>
      <c r="B54" s="2423">
        <v>821222</v>
      </c>
      <c r="C54" s="2428" t="s">
        <v>939</v>
      </c>
      <c r="D54" s="1934" t="s">
        <v>899</v>
      </c>
      <c r="E54" s="1935">
        <v>3819.54</v>
      </c>
      <c r="F54" s="1936"/>
      <c r="G54" s="1937">
        <f t="shared" si="8"/>
        <v>3819.54</v>
      </c>
      <c r="H54" s="1938"/>
      <c r="I54" s="1939"/>
      <c r="J54" s="1940">
        <f t="shared" si="9"/>
        <v>0</v>
      </c>
      <c r="K54" s="337"/>
      <c r="L54" s="337">
        <f t="shared" si="2"/>
        <v>0</v>
      </c>
    </row>
    <row r="55" spans="1:17" ht="99.95" customHeight="1">
      <c r="A55" s="2106">
        <v>49</v>
      </c>
      <c r="B55" s="2423">
        <v>821221</v>
      </c>
      <c r="C55" s="2428" t="s">
        <v>940</v>
      </c>
      <c r="D55" s="1934" t="s">
        <v>899</v>
      </c>
      <c r="E55" s="1945">
        <v>20000</v>
      </c>
      <c r="F55" s="1936"/>
      <c r="G55" s="1937">
        <f>E55+F55</f>
        <v>20000</v>
      </c>
      <c r="H55" s="1947"/>
      <c r="I55" s="1939"/>
      <c r="J55" s="1940">
        <f>H55+I55</f>
        <v>0</v>
      </c>
      <c r="K55" s="337"/>
      <c r="L55" s="337">
        <f t="shared" si="2"/>
        <v>0</v>
      </c>
    </row>
    <row r="56" spans="1:17" ht="99.95" customHeight="1">
      <c r="A56" s="2106">
        <v>50</v>
      </c>
      <c r="B56" s="2423">
        <v>821221</v>
      </c>
      <c r="C56" s="2428" t="s">
        <v>941</v>
      </c>
      <c r="D56" s="1934" t="s">
        <v>899</v>
      </c>
      <c r="E56" s="1945">
        <v>17910.5</v>
      </c>
      <c r="F56" s="1936"/>
      <c r="G56" s="1937">
        <f>E56+F56</f>
        <v>17910.5</v>
      </c>
      <c r="H56" s="1947"/>
      <c r="I56" s="1939"/>
      <c r="J56" s="1940">
        <f>H56+I56</f>
        <v>0</v>
      </c>
      <c r="K56" s="337"/>
      <c r="L56" s="337">
        <f t="shared" si="2"/>
        <v>0</v>
      </c>
    </row>
    <row r="57" spans="1:17" ht="99.95" customHeight="1">
      <c r="A57" s="2106">
        <v>51</v>
      </c>
      <c r="B57" s="2423">
        <v>821224</v>
      </c>
      <c r="C57" s="2428" t="s">
        <v>1070</v>
      </c>
      <c r="D57" s="1934" t="s">
        <v>899</v>
      </c>
      <c r="E57" s="1945">
        <v>3717</v>
      </c>
      <c r="F57" s="1936">
        <v>60534</v>
      </c>
      <c r="G57" s="1937">
        <f t="shared" ref="G57:G58" si="10">E57+F57</f>
        <v>64251</v>
      </c>
      <c r="H57" s="1947"/>
      <c r="I57" s="1939"/>
      <c r="J57" s="1940">
        <f t="shared" ref="J57:J58" si="11">H57+I57</f>
        <v>0</v>
      </c>
      <c r="K57" s="337">
        <f>F57+688</f>
        <v>61222</v>
      </c>
      <c r="L57" s="337">
        <f t="shared" si="2"/>
        <v>0</v>
      </c>
    </row>
    <row r="58" spans="1:17" ht="99.95" customHeight="1">
      <c r="A58" s="2106">
        <v>52</v>
      </c>
      <c r="B58" s="2423">
        <v>821224</v>
      </c>
      <c r="C58" s="2428" t="s">
        <v>944</v>
      </c>
      <c r="D58" s="1934" t="s">
        <v>899</v>
      </c>
      <c r="E58" s="1935"/>
      <c r="F58" s="1936">
        <v>100000</v>
      </c>
      <c r="G58" s="1937">
        <f t="shared" si="10"/>
        <v>100000</v>
      </c>
      <c r="H58" s="1938"/>
      <c r="I58" s="1939"/>
      <c r="J58" s="1940">
        <f t="shared" si="11"/>
        <v>0</v>
      </c>
      <c r="K58" s="337"/>
      <c r="L58" s="337">
        <f t="shared" si="2"/>
        <v>0</v>
      </c>
    </row>
    <row r="59" spans="1:17" ht="99.95" customHeight="1">
      <c r="A59" s="2106">
        <v>53</v>
      </c>
      <c r="B59" s="2423">
        <v>821222</v>
      </c>
      <c r="C59" s="2428" t="s">
        <v>945</v>
      </c>
      <c r="D59" s="1934" t="s">
        <v>899</v>
      </c>
      <c r="E59" s="1945">
        <v>163369</v>
      </c>
      <c r="F59" s="1936"/>
      <c r="G59" s="1937">
        <f>E59+F59</f>
        <v>163369</v>
      </c>
      <c r="H59" s="1947"/>
      <c r="I59" s="1939"/>
      <c r="J59" s="1940">
        <f>H59+I59</f>
        <v>0</v>
      </c>
      <c r="K59" s="337"/>
      <c r="L59" s="337">
        <f t="shared" si="2"/>
        <v>0</v>
      </c>
    </row>
    <row r="60" spans="1:17" s="335" customFormat="1" ht="99.95" customHeight="1">
      <c r="A60" s="2106">
        <v>54</v>
      </c>
      <c r="B60" s="2423">
        <v>821211</v>
      </c>
      <c r="C60" s="2428" t="s">
        <v>1208</v>
      </c>
      <c r="D60" s="1934" t="s">
        <v>899</v>
      </c>
      <c r="E60" s="1945"/>
      <c r="F60" s="1936">
        <v>25000</v>
      </c>
      <c r="G60" s="1937">
        <f>E60+F60</f>
        <v>25000</v>
      </c>
      <c r="H60" s="1947"/>
      <c r="I60" s="1939"/>
      <c r="J60" s="1940">
        <f>H60+I60</f>
        <v>0</v>
      </c>
      <c r="K60" s="337"/>
      <c r="L60" s="337">
        <f t="shared" si="2"/>
        <v>0</v>
      </c>
      <c r="M60" s="338"/>
      <c r="N60" s="338"/>
      <c r="O60" s="338"/>
      <c r="P60" s="338"/>
      <c r="Q60" s="338"/>
    </row>
    <row r="61" spans="1:17" s="335" customFormat="1" ht="99.95" customHeight="1">
      <c r="A61" s="2106">
        <v>55</v>
      </c>
      <c r="B61" s="2423">
        <v>821211</v>
      </c>
      <c r="C61" s="2428" t="s">
        <v>947</v>
      </c>
      <c r="D61" s="1934" t="s">
        <v>899</v>
      </c>
      <c r="E61" s="1945"/>
      <c r="F61" s="1936">
        <v>65000</v>
      </c>
      <c r="G61" s="1937">
        <f>E61+F61</f>
        <v>65000</v>
      </c>
      <c r="H61" s="1947"/>
      <c r="I61" s="1939"/>
      <c r="J61" s="1940">
        <f>H61+I61</f>
        <v>0</v>
      </c>
      <c r="K61" s="337"/>
      <c r="L61" s="337">
        <f t="shared" si="2"/>
        <v>0</v>
      </c>
      <c r="M61" s="338"/>
      <c r="N61" s="338"/>
      <c r="O61" s="338"/>
      <c r="P61" s="338"/>
      <c r="Q61" s="338"/>
    </row>
    <row r="62" spans="1:17" ht="99.95" customHeight="1">
      <c r="A62" s="2106">
        <v>56</v>
      </c>
      <c r="B62" s="2423">
        <v>821221</v>
      </c>
      <c r="C62" s="2475" t="s">
        <v>950</v>
      </c>
      <c r="D62" s="1934" t="s">
        <v>899</v>
      </c>
      <c r="E62" s="1945"/>
      <c r="F62" s="1936">
        <v>11000</v>
      </c>
      <c r="G62" s="1937">
        <f t="shared" ref="G62:G63" si="12">E62+F62</f>
        <v>11000</v>
      </c>
      <c r="H62" s="1947"/>
      <c r="I62" s="1939"/>
      <c r="J62" s="1940">
        <f t="shared" ref="J62:J63" si="13">H62+I62</f>
        <v>0</v>
      </c>
      <c r="K62" s="337"/>
      <c r="L62" s="337">
        <f t="shared" si="2"/>
        <v>0</v>
      </c>
    </row>
    <row r="63" spans="1:17" ht="99.95" customHeight="1">
      <c r="A63" s="2106">
        <v>57</v>
      </c>
      <c r="B63" s="2423">
        <v>821221</v>
      </c>
      <c r="C63" s="2428" t="s">
        <v>951</v>
      </c>
      <c r="D63" s="1953" t="s">
        <v>899</v>
      </c>
      <c r="E63" s="1945">
        <v>70000</v>
      </c>
      <c r="F63" s="1936"/>
      <c r="G63" s="1937">
        <f t="shared" si="12"/>
        <v>70000</v>
      </c>
      <c r="H63" s="1947"/>
      <c r="I63" s="1939"/>
      <c r="J63" s="1940">
        <f t="shared" si="13"/>
        <v>0</v>
      </c>
      <c r="K63" s="337"/>
      <c r="L63" s="337">
        <f t="shared" si="2"/>
        <v>0</v>
      </c>
    </row>
    <row r="64" spans="1:17" s="335" customFormat="1" ht="99.95" customHeight="1">
      <c r="A64" s="2106">
        <v>58</v>
      </c>
      <c r="B64" s="2464"/>
      <c r="C64" s="2428" t="s">
        <v>1154</v>
      </c>
      <c r="D64" s="1953" t="s">
        <v>899</v>
      </c>
      <c r="E64" s="1945"/>
      <c r="F64" s="1936">
        <v>100000</v>
      </c>
      <c r="G64" s="1949">
        <f>E64+F64</f>
        <v>100000</v>
      </c>
      <c r="H64" s="1947"/>
      <c r="I64" s="1939"/>
      <c r="J64" s="1950">
        <f>H64+I64</f>
        <v>0</v>
      </c>
      <c r="K64" s="337"/>
      <c r="L64" s="337">
        <f t="shared" si="2"/>
        <v>0</v>
      </c>
      <c r="M64" s="338"/>
      <c r="N64" s="338"/>
      <c r="O64" s="338"/>
      <c r="P64" s="338"/>
      <c r="Q64" s="338"/>
    </row>
    <row r="65" spans="1:21" s="335" customFormat="1" ht="99.95" customHeight="1">
      <c r="A65" s="2106">
        <v>59</v>
      </c>
      <c r="B65" s="2464"/>
      <c r="C65" s="2476" t="s">
        <v>970</v>
      </c>
      <c r="D65" s="1953" t="s">
        <v>899</v>
      </c>
      <c r="E65" s="1945"/>
      <c r="F65" s="1936">
        <v>130000</v>
      </c>
      <c r="G65" s="1949">
        <f t="shared" ref="G65:G74" si="14">E65+F65</f>
        <v>130000</v>
      </c>
      <c r="H65" s="1947"/>
      <c r="I65" s="1939"/>
      <c r="J65" s="1950">
        <f t="shared" ref="J65:J74" si="15">H65+I65</f>
        <v>0</v>
      </c>
      <c r="K65" s="337"/>
      <c r="L65" s="337">
        <f t="shared" si="2"/>
        <v>0</v>
      </c>
      <c r="M65" s="338"/>
      <c r="N65" s="338"/>
      <c r="O65" s="338"/>
      <c r="P65" s="338"/>
      <c r="Q65" s="338"/>
    </row>
    <row r="66" spans="1:21" s="335" customFormat="1" ht="99.95" customHeight="1">
      <c r="A66" s="2106">
        <v>60</v>
      </c>
      <c r="B66" s="2464"/>
      <c r="C66" s="2476" t="s">
        <v>1155</v>
      </c>
      <c r="D66" s="1953" t="s">
        <v>899</v>
      </c>
      <c r="E66" s="1945"/>
      <c r="F66" s="1936">
        <v>65000</v>
      </c>
      <c r="G66" s="1949">
        <f t="shared" si="14"/>
        <v>65000</v>
      </c>
      <c r="H66" s="1947"/>
      <c r="I66" s="1939"/>
      <c r="J66" s="1950">
        <f t="shared" si="15"/>
        <v>0</v>
      </c>
      <c r="K66" s="337"/>
      <c r="L66" s="337">
        <f t="shared" si="2"/>
        <v>0</v>
      </c>
      <c r="M66" s="338"/>
      <c r="N66" s="338"/>
      <c r="O66" s="338"/>
      <c r="P66" s="338"/>
      <c r="Q66" s="338"/>
    </row>
    <row r="67" spans="1:21" s="335" customFormat="1" ht="99.95" customHeight="1">
      <c r="A67" s="2106">
        <v>61</v>
      </c>
      <c r="B67" s="2464"/>
      <c r="C67" s="2476" t="s">
        <v>1239</v>
      </c>
      <c r="D67" s="1953"/>
      <c r="E67" s="1945"/>
      <c r="F67" s="1946">
        <v>7000</v>
      </c>
      <c r="G67" s="1954">
        <f t="shared" si="14"/>
        <v>7000</v>
      </c>
      <c r="H67" s="1947"/>
      <c r="I67" s="1948"/>
      <c r="J67" s="1955">
        <f t="shared" si="15"/>
        <v>0</v>
      </c>
      <c r="K67" s="337"/>
      <c r="L67" s="337">
        <f t="shared" si="2"/>
        <v>0</v>
      </c>
      <c r="M67" s="338"/>
      <c r="N67" s="338"/>
      <c r="O67" s="338"/>
      <c r="P67" s="338"/>
      <c r="Q67" s="338"/>
    </row>
    <row r="68" spans="1:21" s="335" customFormat="1" ht="99.95" customHeight="1">
      <c r="A68" s="2106">
        <v>62</v>
      </c>
      <c r="B68" s="2464"/>
      <c r="C68" s="2476" t="s">
        <v>1156</v>
      </c>
      <c r="D68" s="1953" t="s">
        <v>899</v>
      </c>
      <c r="E68" s="1945"/>
      <c r="F68" s="1936">
        <v>75000</v>
      </c>
      <c r="G68" s="1949">
        <f t="shared" si="14"/>
        <v>75000</v>
      </c>
      <c r="H68" s="1947"/>
      <c r="I68" s="1939"/>
      <c r="J68" s="1950">
        <f t="shared" si="15"/>
        <v>0</v>
      </c>
      <c r="K68" s="337"/>
      <c r="L68" s="337">
        <f t="shared" si="2"/>
        <v>0</v>
      </c>
      <c r="M68" s="338"/>
      <c r="N68" s="338"/>
      <c r="O68" s="754"/>
      <c r="P68" s="754"/>
      <c r="Q68" s="1016"/>
      <c r="R68" s="754"/>
      <c r="S68" s="754"/>
      <c r="T68" s="754"/>
      <c r="U68" s="754"/>
    </row>
    <row r="69" spans="1:21" s="335" customFormat="1" ht="99.95" customHeight="1">
      <c r="A69" s="2106">
        <v>63</v>
      </c>
      <c r="B69" s="2464"/>
      <c r="C69" s="2476" t="s">
        <v>1157</v>
      </c>
      <c r="D69" s="1953" t="s">
        <v>899</v>
      </c>
      <c r="E69" s="1945"/>
      <c r="F69" s="1936">
        <v>30000</v>
      </c>
      <c r="G69" s="1949">
        <f t="shared" si="14"/>
        <v>30000</v>
      </c>
      <c r="H69" s="1947"/>
      <c r="I69" s="1939"/>
      <c r="J69" s="1950">
        <f t="shared" si="15"/>
        <v>0</v>
      </c>
      <c r="K69" s="337"/>
      <c r="L69" s="337">
        <f t="shared" si="2"/>
        <v>0</v>
      </c>
      <c r="M69" s="338"/>
      <c r="N69" s="338"/>
      <c r="O69" s="754"/>
      <c r="P69" s="755" t="s">
        <v>1514</v>
      </c>
      <c r="Q69" s="1016"/>
      <c r="R69" s="754"/>
      <c r="S69" s="754"/>
      <c r="T69" s="754"/>
      <c r="U69" s="754"/>
    </row>
    <row r="70" spans="1:21" s="335" customFormat="1" ht="99.95" customHeight="1">
      <c r="A70" s="2106">
        <v>64</v>
      </c>
      <c r="B70" s="2464"/>
      <c r="C70" s="2428" t="s">
        <v>1158</v>
      </c>
      <c r="D70" s="1956" t="s">
        <v>899</v>
      </c>
      <c r="E70" s="1945"/>
      <c r="F70" s="1936">
        <v>10000</v>
      </c>
      <c r="G70" s="1949">
        <f t="shared" si="14"/>
        <v>10000</v>
      </c>
      <c r="H70" s="1947"/>
      <c r="I70" s="1939"/>
      <c r="J70" s="1950">
        <f t="shared" si="15"/>
        <v>0</v>
      </c>
      <c r="K70" s="337"/>
      <c r="L70" s="337">
        <f t="shared" si="2"/>
        <v>0</v>
      </c>
      <c r="M70" s="338"/>
      <c r="N70" s="338"/>
      <c r="O70" s="754"/>
      <c r="P70" s="755"/>
      <c r="Q70" s="1016"/>
      <c r="R70" s="754"/>
      <c r="S70" s="754"/>
      <c r="T70" s="754"/>
      <c r="U70" s="754"/>
    </row>
    <row r="71" spans="1:21" s="335" customFormat="1" ht="99.95" customHeight="1">
      <c r="A71" s="2106">
        <v>65</v>
      </c>
      <c r="B71" s="2423">
        <v>821513</v>
      </c>
      <c r="C71" s="2428" t="s">
        <v>953</v>
      </c>
      <c r="D71" s="1941" t="s">
        <v>899</v>
      </c>
      <c r="E71" s="1945"/>
      <c r="F71" s="1936">
        <v>120000</v>
      </c>
      <c r="G71" s="1937">
        <f t="shared" si="14"/>
        <v>120000</v>
      </c>
      <c r="H71" s="1947"/>
      <c r="I71" s="1939"/>
      <c r="J71" s="1940">
        <f t="shared" si="15"/>
        <v>0</v>
      </c>
      <c r="K71" s="337"/>
      <c r="L71" s="337">
        <f t="shared" si="2"/>
        <v>0</v>
      </c>
      <c r="O71" s="754"/>
      <c r="P71" s="755" t="s">
        <v>1515</v>
      </c>
      <c r="Q71" s="1016"/>
      <c r="R71" s="754"/>
      <c r="S71" s="754"/>
      <c r="T71" s="754"/>
      <c r="U71" s="754"/>
    </row>
    <row r="72" spans="1:21" s="335" customFormat="1" ht="99.95" customHeight="1">
      <c r="A72" s="2106">
        <v>66</v>
      </c>
      <c r="B72" s="2464"/>
      <c r="C72" s="2428" t="s">
        <v>1209</v>
      </c>
      <c r="D72" s="1941" t="s">
        <v>899</v>
      </c>
      <c r="E72" s="1945"/>
      <c r="F72" s="1936">
        <v>50000</v>
      </c>
      <c r="G72" s="1949">
        <f t="shared" si="14"/>
        <v>50000</v>
      </c>
      <c r="H72" s="1947"/>
      <c r="I72" s="1939"/>
      <c r="J72" s="1950">
        <f t="shared" si="15"/>
        <v>0</v>
      </c>
      <c r="K72" s="337"/>
      <c r="L72" s="337">
        <f t="shared" si="2"/>
        <v>0</v>
      </c>
      <c r="O72" s="754"/>
      <c r="P72" s="754"/>
      <c r="Q72" s="1016"/>
      <c r="R72" s="754"/>
      <c r="S72" s="754"/>
      <c r="T72" s="754"/>
      <c r="U72" s="754"/>
    </row>
    <row r="73" spans="1:21" s="335" customFormat="1" ht="99.95" customHeight="1">
      <c r="A73" s="2106">
        <v>67</v>
      </c>
      <c r="B73" s="2468"/>
      <c r="C73" s="2428" t="s">
        <v>1517</v>
      </c>
      <c r="D73" s="1941" t="s">
        <v>899</v>
      </c>
      <c r="E73" s="1957"/>
      <c r="F73" s="1958">
        <v>30000</v>
      </c>
      <c r="G73" s="1949">
        <f t="shared" si="14"/>
        <v>30000</v>
      </c>
      <c r="H73" s="1947"/>
      <c r="I73" s="1939"/>
      <c r="J73" s="1959">
        <f t="shared" si="15"/>
        <v>0</v>
      </c>
      <c r="K73" s="337"/>
      <c r="L73" s="337">
        <f t="shared" si="2"/>
        <v>0</v>
      </c>
      <c r="O73" s="754"/>
      <c r="P73" s="754"/>
      <c r="Q73" s="1016"/>
      <c r="R73" s="754"/>
      <c r="S73" s="754"/>
      <c r="T73" s="754"/>
      <c r="U73" s="754"/>
    </row>
    <row r="74" spans="1:21" s="335" customFormat="1" ht="99.95" customHeight="1" thickBot="1">
      <c r="A74" s="2106">
        <v>66</v>
      </c>
      <c r="B74" s="2468"/>
      <c r="C74" s="2477" t="s">
        <v>1516</v>
      </c>
      <c r="D74" s="1941" t="s">
        <v>899</v>
      </c>
      <c r="E74" s="1957"/>
      <c r="F74" s="1958">
        <v>20000</v>
      </c>
      <c r="G74" s="1949">
        <f t="shared" si="14"/>
        <v>20000</v>
      </c>
      <c r="H74" s="1947"/>
      <c r="I74" s="1939"/>
      <c r="J74" s="1959">
        <f t="shared" si="15"/>
        <v>0</v>
      </c>
      <c r="K74" s="337"/>
      <c r="L74" s="337">
        <f t="shared" si="2"/>
        <v>0</v>
      </c>
      <c r="O74" s="754"/>
      <c r="P74" s="754"/>
      <c r="Q74" s="1016"/>
      <c r="R74" s="754"/>
      <c r="S74" s="754"/>
      <c r="T74" s="754"/>
      <c r="U74" s="754"/>
    </row>
    <row r="75" spans="1:21" ht="99.95" customHeight="1" thickTop="1"/>
    <row r="76" spans="1:21" ht="99.95" customHeight="1">
      <c r="F76" s="1916">
        <f>F67</f>
        <v>7000</v>
      </c>
      <c r="G76" s="1916">
        <f>K5-F5</f>
        <v>-3875642.92</v>
      </c>
    </row>
    <row r="77" spans="1:21" ht="99.95" customHeight="1">
      <c r="F77" s="1916">
        <f>104643-F76</f>
        <v>97643</v>
      </c>
      <c r="G77" s="1916" t="e">
        <f>#REF!+975.08</f>
        <v>#REF!</v>
      </c>
    </row>
    <row r="79" spans="1:21" ht="99.95" customHeight="1">
      <c r="B79" s="1960"/>
      <c r="C79" s="1960"/>
      <c r="D79" s="1960"/>
    </row>
    <row r="80" spans="1:21" ht="99.95" customHeight="1">
      <c r="B80" s="1960"/>
      <c r="C80" s="1960"/>
      <c r="D80" s="1960"/>
    </row>
    <row r="81" spans="2:4" ht="99.95" customHeight="1">
      <c r="B81" s="1960"/>
      <c r="C81" s="1960"/>
      <c r="D81" s="1960"/>
    </row>
    <row r="82" spans="2:4" ht="99.95" customHeight="1">
      <c r="B82" s="1960"/>
      <c r="C82" s="1960"/>
      <c r="D82" s="1960"/>
    </row>
    <row r="83" spans="2:4" ht="99.95" customHeight="1">
      <c r="B83" s="1960"/>
      <c r="C83" s="1960"/>
      <c r="D83" s="1960"/>
    </row>
  </sheetData>
  <mergeCells count="4">
    <mergeCell ref="B16:B17"/>
    <mergeCell ref="A16:A17"/>
    <mergeCell ref="G16:G17"/>
    <mergeCell ref="C16:C17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headerFooter>
    <oddFooter>&amp;L&amp;"Times New Roman,Uobičajeno"&amp;16&amp;K00-026 Budžeta Grada Mostara za 2022
 godinu - Služba za izgradnju infrastrukturnih objekata&amp;C&amp;16&amp;P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0"/>
  <dimension ref="A1:P23"/>
  <sheetViews>
    <sheetView view="pageBreakPreview" topLeftCell="A16" zoomScale="43" zoomScaleNormal="100" zoomScaleSheetLayoutView="43" workbookViewId="0">
      <selection activeCell="I16" sqref="I16"/>
    </sheetView>
  </sheetViews>
  <sheetFormatPr defaultRowHeight="26.25"/>
  <cols>
    <col min="1" max="1" width="9.140625" style="328" customWidth="1"/>
    <col min="2" max="2" width="14.140625" style="328" customWidth="1"/>
    <col min="3" max="3" width="62.140625" style="328" customWidth="1"/>
    <col min="4" max="4" width="49.85546875" style="328" customWidth="1"/>
    <col min="5" max="7" width="23.7109375" style="327" customWidth="1"/>
    <col min="8" max="10" width="23.7109375" style="1009" customWidth="1"/>
    <col min="11" max="11" width="15.7109375" style="1009" bestFit="1" customWidth="1"/>
    <col min="12" max="12" width="27.5703125" style="1009" bestFit="1" customWidth="1"/>
    <col min="13" max="15" width="8.85546875" style="1009"/>
    <col min="16" max="16" width="8.85546875" style="1005"/>
  </cols>
  <sheetData>
    <row r="1" spans="1:16" ht="45" customHeight="1" thickBot="1">
      <c r="C1" s="911" t="s">
        <v>1648</v>
      </c>
    </row>
    <row r="2" spans="1:16" ht="120" customHeight="1" thickTop="1">
      <c r="A2" s="912" t="s">
        <v>0</v>
      </c>
      <c r="B2" s="913"/>
      <c r="C2" s="914" t="s">
        <v>896</v>
      </c>
      <c r="D2" s="915" t="s">
        <v>1312</v>
      </c>
      <c r="E2" s="916" t="s">
        <v>1311</v>
      </c>
      <c r="F2" s="917" t="s">
        <v>1313</v>
      </c>
      <c r="G2" s="1430" t="s">
        <v>606</v>
      </c>
      <c r="H2" s="916" t="s">
        <v>1311</v>
      </c>
      <c r="I2" s="917" t="s">
        <v>1654</v>
      </c>
      <c r="J2" s="918" t="s">
        <v>606</v>
      </c>
      <c r="L2" s="1010" t="e">
        <f t="shared" ref="L2:L14" si="0">E2+F2-G2</f>
        <v>#VALUE!</v>
      </c>
    </row>
    <row r="3" spans="1:16" ht="27" customHeight="1">
      <c r="A3" s="919"/>
      <c r="B3" s="920"/>
      <c r="C3" s="921"/>
      <c r="D3" s="922"/>
      <c r="E3" s="923">
        <v>1</v>
      </c>
      <c r="F3" s="924">
        <v>2</v>
      </c>
      <c r="G3" s="1431" t="s">
        <v>1666</v>
      </c>
      <c r="H3" s="1436">
        <v>4</v>
      </c>
      <c r="I3" s="1437">
        <v>5</v>
      </c>
      <c r="J3" s="925" t="s">
        <v>1667</v>
      </c>
      <c r="L3" s="1010" t="e">
        <f t="shared" si="0"/>
        <v>#VALUE!</v>
      </c>
    </row>
    <row r="4" spans="1:16" ht="54.75" customHeight="1">
      <c r="A4" s="919"/>
      <c r="B4" s="920"/>
      <c r="C4" s="926" t="s">
        <v>464</v>
      </c>
      <c r="D4" s="922"/>
      <c r="E4" s="923"/>
      <c r="F4" s="924"/>
      <c r="G4" s="1432"/>
      <c r="H4" s="1436"/>
      <c r="I4" s="1437"/>
      <c r="J4" s="927"/>
      <c r="L4" s="1010">
        <f t="shared" si="0"/>
        <v>0</v>
      </c>
    </row>
    <row r="5" spans="1:16" ht="62.25" customHeight="1">
      <c r="A5" s="928"/>
      <c r="B5" s="920"/>
      <c r="C5" s="929" t="s">
        <v>479</v>
      </c>
      <c r="D5" s="930"/>
      <c r="E5" s="923">
        <f>SUM(E6:E16)</f>
        <v>75330</v>
      </c>
      <c r="F5" s="924">
        <f>SUM(F6:F16,F19)</f>
        <v>824357</v>
      </c>
      <c r="G5" s="1432">
        <f>SUM(G6:G16,G19)</f>
        <v>899687</v>
      </c>
      <c r="H5" s="1436">
        <f>SUM(H6:H16)</f>
        <v>0</v>
      </c>
      <c r="I5" s="1437">
        <f>SUM(I6:I16,I19)</f>
        <v>50000</v>
      </c>
      <c r="J5" s="927">
        <f>SUM(J6:J16,J19)</f>
        <v>50000</v>
      </c>
      <c r="L5" s="1010">
        <f t="shared" si="0"/>
        <v>0</v>
      </c>
    </row>
    <row r="6" spans="1:16" ht="49.5" customHeight="1">
      <c r="A6" s="931">
        <v>1</v>
      </c>
      <c r="B6" s="932"/>
      <c r="C6" s="933" t="s">
        <v>942</v>
      </c>
      <c r="D6" s="934" t="s">
        <v>899</v>
      </c>
      <c r="E6" s="935">
        <v>10000</v>
      </c>
      <c r="F6" s="936">
        <v>20000</v>
      </c>
      <c r="G6" s="1433">
        <f>SUM(E6:F6)</f>
        <v>30000</v>
      </c>
      <c r="H6" s="1309"/>
      <c r="I6" s="1334"/>
      <c r="J6" s="937">
        <f>SUM(H6:I6)</f>
        <v>0</v>
      </c>
      <c r="L6" s="1010">
        <f t="shared" si="0"/>
        <v>0</v>
      </c>
    </row>
    <row r="7" spans="1:16" ht="49.5" customHeight="1">
      <c r="A7" s="931">
        <v>2</v>
      </c>
      <c r="B7" s="932"/>
      <c r="C7" s="933" t="s">
        <v>943</v>
      </c>
      <c r="D7" s="934" t="s">
        <v>899</v>
      </c>
      <c r="E7" s="935"/>
      <c r="F7" s="936">
        <v>150000</v>
      </c>
      <c r="G7" s="1433">
        <f t="shared" ref="G7:G15" si="1">SUM(E7:F7)</f>
        <v>150000</v>
      </c>
      <c r="H7" s="1309"/>
      <c r="I7" s="1334"/>
      <c r="J7" s="937">
        <f t="shared" ref="J7:J15" si="2">SUM(H7:I7)</f>
        <v>0</v>
      </c>
      <c r="L7" s="1010">
        <f t="shared" si="0"/>
        <v>0</v>
      </c>
    </row>
    <row r="8" spans="1:16" ht="52.5">
      <c r="A8" s="931">
        <v>3</v>
      </c>
      <c r="B8" s="932"/>
      <c r="C8" s="1017" t="s">
        <v>1213</v>
      </c>
      <c r="D8" s="934" t="s">
        <v>899</v>
      </c>
      <c r="E8" s="935"/>
      <c r="F8" s="936">
        <v>150000</v>
      </c>
      <c r="G8" s="1433">
        <f t="shared" si="1"/>
        <v>150000</v>
      </c>
      <c r="H8" s="1309"/>
      <c r="I8" s="1334"/>
      <c r="J8" s="937">
        <f t="shared" si="2"/>
        <v>0</v>
      </c>
      <c r="L8" s="1010">
        <f t="shared" si="0"/>
        <v>0</v>
      </c>
    </row>
    <row r="9" spans="1:16" ht="78.75">
      <c r="A9" s="931">
        <v>4</v>
      </c>
      <c r="B9" s="932"/>
      <c r="C9" s="1018" t="s">
        <v>1192</v>
      </c>
      <c r="D9" s="934" t="s">
        <v>899</v>
      </c>
      <c r="E9" s="935"/>
      <c r="F9" s="936">
        <v>300000</v>
      </c>
      <c r="G9" s="1433">
        <f t="shared" si="1"/>
        <v>300000</v>
      </c>
      <c r="H9" s="1309"/>
      <c r="I9" s="1334"/>
      <c r="J9" s="937">
        <f t="shared" si="2"/>
        <v>0</v>
      </c>
      <c r="L9" s="1010">
        <f t="shared" si="0"/>
        <v>0</v>
      </c>
    </row>
    <row r="10" spans="1:16" s="335" customFormat="1" ht="49.5" customHeight="1">
      <c r="A10" s="931">
        <v>5</v>
      </c>
      <c r="B10" s="938"/>
      <c r="C10" s="933" t="s">
        <v>1210</v>
      </c>
      <c r="D10" s="934" t="s">
        <v>899</v>
      </c>
      <c r="E10" s="935"/>
      <c r="F10" s="936">
        <v>50000</v>
      </c>
      <c r="G10" s="1433">
        <f t="shared" si="1"/>
        <v>50000</v>
      </c>
      <c r="H10" s="1309"/>
      <c r="I10" s="1334"/>
      <c r="J10" s="937">
        <f t="shared" si="2"/>
        <v>0</v>
      </c>
      <c r="K10" s="1011"/>
      <c r="L10" s="1010">
        <f t="shared" si="0"/>
        <v>0</v>
      </c>
      <c r="M10" s="1011"/>
      <c r="N10" s="1011"/>
      <c r="O10" s="1011"/>
      <c r="P10" s="1006"/>
    </row>
    <row r="11" spans="1:16" s="335" customFormat="1" ht="49.5" customHeight="1">
      <c r="A11" s="931">
        <v>6</v>
      </c>
      <c r="B11" s="932" t="s">
        <v>593</v>
      </c>
      <c r="C11" s="1019" t="s">
        <v>949</v>
      </c>
      <c r="D11" s="934" t="s">
        <v>899</v>
      </c>
      <c r="E11" s="935"/>
      <c r="F11" s="936">
        <v>8357</v>
      </c>
      <c r="G11" s="1433">
        <f t="shared" si="1"/>
        <v>8357</v>
      </c>
      <c r="H11" s="1309"/>
      <c r="I11" s="1334"/>
      <c r="J11" s="937">
        <f t="shared" si="2"/>
        <v>0</v>
      </c>
      <c r="K11" s="1011"/>
      <c r="L11" s="1010">
        <f t="shared" si="0"/>
        <v>0</v>
      </c>
      <c r="M11" s="1011"/>
      <c r="N11" s="1011"/>
      <c r="O11" s="1011"/>
      <c r="P11" s="1006"/>
    </row>
    <row r="12" spans="1:16" s="335" customFormat="1" ht="49.5" customHeight="1">
      <c r="A12" s="931">
        <v>7</v>
      </c>
      <c r="B12" s="932"/>
      <c r="C12" s="1019" t="s">
        <v>948</v>
      </c>
      <c r="D12" s="934" t="s">
        <v>899</v>
      </c>
      <c r="E12" s="935"/>
      <c r="F12" s="936"/>
      <c r="G12" s="1433">
        <f t="shared" si="1"/>
        <v>0</v>
      </c>
      <c r="H12" s="1309"/>
      <c r="I12" s="1334"/>
      <c r="J12" s="937">
        <f t="shared" si="2"/>
        <v>0</v>
      </c>
      <c r="K12" s="1011"/>
      <c r="L12" s="1010">
        <f t="shared" si="0"/>
        <v>0</v>
      </c>
      <c r="M12" s="1011"/>
      <c r="N12" s="1011"/>
      <c r="O12" s="1011"/>
      <c r="P12" s="1006"/>
    </row>
    <row r="13" spans="1:16" s="335" customFormat="1" ht="49.5" customHeight="1">
      <c r="A13" s="931">
        <v>8</v>
      </c>
      <c r="B13" s="932"/>
      <c r="C13" s="933" t="s">
        <v>1283</v>
      </c>
      <c r="D13" s="939" t="s">
        <v>1282</v>
      </c>
      <c r="E13" s="941">
        <v>30000</v>
      </c>
      <c r="F13" s="942"/>
      <c r="G13" s="1433">
        <f t="shared" si="1"/>
        <v>30000</v>
      </c>
      <c r="H13" s="1438"/>
      <c r="I13" s="1337"/>
      <c r="J13" s="937">
        <f t="shared" si="2"/>
        <v>0</v>
      </c>
      <c r="K13" s="1011"/>
      <c r="L13" s="1010">
        <f t="shared" si="0"/>
        <v>0</v>
      </c>
      <c r="M13" s="1011"/>
      <c r="N13" s="1011"/>
      <c r="O13" s="1011"/>
      <c r="P13" s="1006"/>
    </row>
    <row r="14" spans="1:16" s="335" customFormat="1" ht="49.5" customHeight="1">
      <c r="A14" s="931">
        <v>9</v>
      </c>
      <c r="B14" s="932"/>
      <c r="C14" s="933" t="s">
        <v>1284</v>
      </c>
      <c r="D14" s="939" t="s">
        <v>1282</v>
      </c>
      <c r="E14" s="941">
        <v>8830</v>
      </c>
      <c r="F14" s="942">
        <v>10000</v>
      </c>
      <c r="G14" s="1433">
        <f t="shared" si="1"/>
        <v>18830</v>
      </c>
      <c r="H14" s="1438"/>
      <c r="I14" s="1337"/>
      <c r="J14" s="937">
        <f t="shared" si="2"/>
        <v>0</v>
      </c>
      <c r="K14" s="1011"/>
      <c r="L14" s="1010">
        <f t="shared" si="0"/>
        <v>0</v>
      </c>
      <c r="M14" s="1011"/>
      <c r="N14" s="1011"/>
      <c r="O14" s="1011"/>
      <c r="P14" s="1006"/>
    </row>
    <row r="15" spans="1:16" s="335" customFormat="1" ht="49.5" customHeight="1">
      <c r="A15" s="931">
        <v>10</v>
      </c>
      <c r="B15" s="932"/>
      <c r="C15" s="933" t="s">
        <v>926</v>
      </c>
      <c r="D15" s="939" t="s">
        <v>1282</v>
      </c>
      <c r="E15" s="941">
        <v>10000</v>
      </c>
      <c r="F15" s="942"/>
      <c r="G15" s="1433">
        <f t="shared" si="1"/>
        <v>10000</v>
      </c>
      <c r="H15" s="1438"/>
      <c r="I15" s="1337">
        <v>50000</v>
      </c>
      <c r="J15" s="937">
        <f t="shared" si="2"/>
        <v>50000</v>
      </c>
      <c r="K15" s="1011"/>
      <c r="L15" s="1010"/>
      <c r="M15" s="1011"/>
      <c r="N15" s="1011"/>
      <c r="O15" s="1011"/>
      <c r="P15" s="1006"/>
    </row>
    <row r="16" spans="1:16" s="733" customFormat="1" ht="49.5" customHeight="1">
      <c r="A16" s="931">
        <v>11</v>
      </c>
      <c r="B16" s="1038"/>
      <c r="C16" s="1039" t="s">
        <v>927</v>
      </c>
      <c r="D16" s="945" t="s">
        <v>1282</v>
      </c>
      <c r="E16" s="946">
        <f t="shared" ref="E16:J16" si="3">SUM(E17:E18)</f>
        <v>16500</v>
      </c>
      <c r="F16" s="947">
        <f t="shared" si="3"/>
        <v>0</v>
      </c>
      <c r="G16" s="1336">
        <f t="shared" si="3"/>
        <v>16500</v>
      </c>
      <c r="H16" s="1318">
        <f t="shared" si="3"/>
        <v>0</v>
      </c>
      <c r="I16" s="1320">
        <f t="shared" si="3"/>
        <v>0</v>
      </c>
      <c r="J16" s="1040">
        <f t="shared" si="3"/>
        <v>0</v>
      </c>
      <c r="K16" s="1012"/>
      <c r="L16" s="1013"/>
      <c r="M16" s="1012"/>
      <c r="N16" s="1012"/>
      <c r="O16" s="1012"/>
      <c r="P16" s="1007"/>
    </row>
    <row r="17" spans="1:16" s="335" customFormat="1" ht="49.5" customHeight="1">
      <c r="A17" s="931">
        <v>12</v>
      </c>
      <c r="B17" s="932"/>
      <c r="C17" s="933" t="s">
        <v>1508</v>
      </c>
      <c r="D17" s="939" t="s">
        <v>1282</v>
      </c>
      <c r="E17" s="941">
        <v>10000</v>
      </c>
      <c r="F17" s="942"/>
      <c r="G17" s="1433">
        <f>SUM(E17:F17)</f>
        <v>10000</v>
      </c>
      <c r="H17" s="1438"/>
      <c r="I17" s="1337"/>
      <c r="J17" s="937">
        <f>SUM(H17:I17)</f>
        <v>0</v>
      </c>
      <c r="K17" s="1010">
        <f>800000-F5</f>
        <v>-24357</v>
      </c>
      <c r="L17" s="1010"/>
      <c r="M17" s="1011"/>
      <c r="N17" s="1011"/>
      <c r="O17" s="1011"/>
      <c r="P17" s="1006"/>
    </row>
    <row r="18" spans="1:16" s="335" customFormat="1" ht="49.5" customHeight="1">
      <c r="A18" s="931">
        <v>13</v>
      </c>
      <c r="B18" s="932"/>
      <c r="C18" s="933" t="s">
        <v>1650</v>
      </c>
      <c r="D18" s="939" t="s">
        <v>1282</v>
      </c>
      <c r="E18" s="941">
        <v>6500</v>
      </c>
      <c r="F18" s="942"/>
      <c r="G18" s="1433">
        <f>SUM(E18:F18)</f>
        <v>6500</v>
      </c>
      <c r="H18" s="1438"/>
      <c r="I18" s="1337"/>
      <c r="J18" s="937">
        <f>SUM(H18:I18)</f>
        <v>0</v>
      </c>
      <c r="K18" s="1011"/>
      <c r="L18" s="1010"/>
      <c r="M18" s="1011"/>
      <c r="N18" s="1011"/>
      <c r="O18" s="1011"/>
      <c r="P18" s="1006"/>
    </row>
    <row r="19" spans="1:16" s="447" customFormat="1" ht="49.5" customHeight="1">
      <c r="A19" s="931">
        <v>14</v>
      </c>
      <c r="B19" s="943"/>
      <c r="C19" s="944" t="s">
        <v>952</v>
      </c>
      <c r="D19" s="945"/>
      <c r="E19" s="948"/>
      <c r="F19" s="949">
        <f>SUM(F20:F22)</f>
        <v>136000</v>
      </c>
      <c r="G19" s="1434">
        <f>G20+G21+G22</f>
        <v>136000</v>
      </c>
      <c r="H19" s="1439"/>
      <c r="I19" s="1440">
        <f>SUM(I20:I22)</f>
        <v>0</v>
      </c>
      <c r="J19" s="950">
        <f>J20+J21+J22</f>
        <v>0</v>
      </c>
      <c r="K19" s="1014"/>
      <c r="L19" s="1015"/>
      <c r="M19" s="1014"/>
      <c r="N19" s="1014"/>
      <c r="O19" s="1014"/>
      <c r="P19" s="1008"/>
    </row>
    <row r="20" spans="1:16" s="335" customFormat="1" ht="49.5" customHeight="1">
      <c r="A20" s="931">
        <v>15</v>
      </c>
      <c r="B20" s="951" t="s">
        <v>188</v>
      </c>
      <c r="C20" s="952" t="s">
        <v>1333</v>
      </c>
      <c r="D20" s="939" t="s">
        <v>1282</v>
      </c>
      <c r="E20" s="935"/>
      <c r="F20" s="940">
        <v>80000</v>
      </c>
      <c r="G20" s="1433">
        <f>SUM(E20:F20)</f>
        <v>80000</v>
      </c>
      <c r="H20" s="1309"/>
      <c r="I20" s="1332"/>
      <c r="J20" s="937">
        <f>SUM(H20:I20)</f>
        <v>0</v>
      </c>
      <c r="K20" s="1011"/>
      <c r="L20" s="1010"/>
      <c r="M20" s="1011"/>
      <c r="N20" s="1011"/>
      <c r="O20" s="1011"/>
      <c r="P20" s="1006"/>
    </row>
    <row r="21" spans="1:16" s="335" customFormat="1" ht="49.5" customHeight="1">
      <c r="A21" s="931">
        <v>16</v>
      </c>
      <c r="B21" s="951" t="s">
        <v>188</v>
      </c>
      <c r="C21" s="952" t="s">
        <v>1334</v>
      </c>
      <c r="D21" s="939" t="s">
        <v>1282</v>
      </c>
      <c r="E21" s="953"/>
      <c r="F21" s="940">
        <v>36000</v>
      </c>
      <c r="G21" s="1433">
        <f>SUM(E21:F21)</f>
        <v>36000</v>
      </c>
      <c r="H21" s="1441"/>
      <c r="I21" s="1332"/>
      <c r="J21" s="937">
        <f>SUM(H21:I21)</f>
        <v>0</v>
      </c>
      <c r="K21" s="1011"/>
      <c r="L21" s="1010"/>
      <c r="M21" s="1011"/>
      <c r="N21" s="1011"/>
      <c r="O21" s="1011"/>
      <c r="P21" s="1006"/>
    </row>
    <row r="22" spans="1:16" ht="53.25" thickBot="1">
      <c r="A22" s="954">
        <v>17</v>
      </c>
      <c r="B22" s="955" t="s">
        <v>188</v>
      </c>
      <c r="C22" s="1020" t="s">
        <v>1335</v>
      </c>
      <c r="D22" s="1021" t="s">
        <v>1282</v>
      </c>
      <c r="E22" s="1022"/>
      <c r="F22" s="1023">
        <v>20000</v>
      </c>
      <c r="G22" s="1435">
        <f t="shared" ref="G22" si="4">SUM(E22:F22)</f>
        <v>20000</v>
      </c>
      <c r="H22" s="1442"/>
      <c r="I22" s="1443"/>
      <c r="J22" s="956">
        <f t="shared" ref="J22" si="5">SUM(H22:I22)</f>
        <v>0</v>
      </c>
    </row>
    <row r="23" spans="1:16" ht="27" thickTop="1">
      <c r="E23" s="957"/>
      <c r="F23" s="957"/>
      <c r="G23" s="957"/>
    </row>
  </sheetData>
  <phoneticPr fontId="34" type="noConversion"/>
  <pageMargins left="0.70866141732283472" right="0.70866141732283472" top="0.74803149606299213" bottom="0.74803149606299213" header="0.31496062992125984" footer="0.31496062992125984"/>
  <pageSetup paperSize="9" scale="33" orientation="landscape" r:id="rId1"/>
  <headerFooter>
    <oddFooter>&amp;L&amp;"Times New Roman,Uobičajeno"&amp;14&amp;K00-013Budžet Grada Mostara za 2022.godinu- Služba za građenje infrastrukturnih objekata&amp;C&amp;"Times New Roman,Uobičajeno"&amp;14&amp;P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1"/>
  <dimension ref="A1:U43"/>
  <sheetViews>
    <sheetView view="pageBreakPreview" topLeftCell="C1" zoomScale="60" workbookViewId="0">
      <selection activeCell="R7" sqref="R7"/>
    </sheetView>
  </sheetViews>
  <sheetFormatPr defaultRowHeight="26.25"/>
  <cols>
    <col min="1" max="1" width="9.42578125" style="327" bestFit="1" customWidth="1"/>
    <col min="2" max="2" width="9" style="327" bestFit="1" customWidth="1"/>
    <col min="3" max="3" width="14.7109375" style="327" customWidth="1"/>
    <col min="4" max="4" width="85.140625" style="327" customWidth="1"/>
    <col min="5" max="16" width="17.5703125" style="327" customWidth="1"/>
    <col min="17" max="17" width="11.7109375" style="327" customWidth="1"/>
    <col min="18" max="18" width="13.28515625" customWidth="1"/>
    <col min="20" max="20" width="13.42578125" customWidth="1"/>
  </cols>
  <sheetData>
    <row r="1" spans="1:21" ht="60.75" customHeight="1" thickBot="1">
      <c r="D1" s="1961" t="s">
        <v>1350</v>
      </c>
    </row>
    <row r="2" spans="1:21" ht="63" customHeight="1" thickTop="1">
      <c r="A2" s="3443" t="s">
        <v>200</v>
      </c>
      <c r="B2" s="3445" t="s">
        <v>201</v>
      </c>
      <c r="C2" s="3445" t="s">
        <v>202</v>
      </c>
      <c r="D2" s="3447" t="s">
        <v>1</v>
      </c>
      <c r="E2" s="3364" t="s">
        <v>1279</v>
      </c>
      <c r="F2" s="3365"/>
      <c r="G2" s="3365"/>
      <c r="H2" s="3374"/>
      <c r="I2" s="3369" t="s">
        <v>1665</v>
      </c>
      <c r="J2" s="3370"/>
      <c r="K2" s="3370"/>
      <c r="L2" s="3449"/>
      <c r="M2" s="3364" t="s">
        <v>1654</v>
      </c>
      <c r="N2" s="3365"/>
      <c r="O2" s="3365"/>
      <c r="P2" s="3366"/>
      <c r="Q2" s="3441" t="s">
        <v>49</v>
      </c>
    </row>
    <row r="3" spans="1:21" ht="177" customHeight="1">
      <c r="A3" s="3444"/>
      <c r="B3" s="3446"/>
      <c r="C3" s="3446"/>
      <c r="D3" s="3448"/>
      <c r="E3" s="1586" t="s">
        <v>50</v>
      </c>
      <c r="F3" s="1490" t="s">
        <v>162</v>
      </c>
      <c r="G3" s="1491" t="s">
        <v>52</v>
      </c>
      <c r="H3" s="1335" t="s">
        <v>606</v>
      </c>
      <c r="I3" s="1586" t="s">
        <v>50</v>
      </c>
      <c r="J3" s="1490" t="s">
        <v>162</v>
      </c>
      <c r="K3" s="1491" t="s">
        <v>52</v>
      </c>
      <c r="L3" s="1335" t="s">
        <v>606</v>
      </c>
      <c r="M3" s="1586" t="s">
        <v>50</v>
      </c>
      <c r="N3" s="1490" t="s">
        <v>162</v>
      </c>
      <c r="O3" s="1491" t="s">
        <v>52</v>
      </c>
      <c r="P3" s="1335" t="s">
        <v>606</v>
      </c>
      <c r="Q3" s="3442"/>
    </row>
    <row r="4" spans="1:21" ht="57.75" customHeight="1">
      <c r="A4" s="1962"/>
      <c r="B4" s="1963"/>
      <c r="C4" s="1963"/>
      <c r="D4" s="1964"/>
      <c r="E4" s="1965">
        <v>1</v>
      </c>
      <c r="F4" s="1966">
        <v>2</v>
      </c>
      <c r="G4" s="1967">
        <v>3</v>
      </c>
      <c r="H4" s="1968" t="s">
        <v>653</v>
      </c>
      <c r="I4" s="1965">
        <v>5</v>
      </c>
      <c r="J4" s="1966">
        <v>6</v>
      </c>
      <c r="K4" s="1967">
        <v>7</v>
      </c>
      <c r="L4" s="1968" t="s">
        <v>1664</v>
      </c>
      <c r="M4" s="1965">
        <v>9</v>
      </c>
      <c r="N4" s="1966">
        <v>10</v>
      </c>
      <c r="O4" s="1967">
        <v>11</v>
      </c>
      <c r="P4" s="1968" t="s">
        <v>1501</v>
      </c>
      <c r="Q4" s="2067">
        <v>13</v>
      </c>
    </row>
    <row r="5" spans="1:21" ht="35.25" customHeight="1">
      <c r="A5" s="1962"/>
      <c r="B5" s="1963"/>
      <c r="C5" s="1963"/>
      <c r="D5" s="1969" t="s">
        <v>829</v>
      </c>
      <c r="E5" s="1965"/>
      <c r="F5" s="1966"/>
      <c r="G5" s="1967"/>
      <c r="H5" s="1968"/>
      <c r="I5" s="1965"/>
      <c r="J5" s="1966"/>
      <c r="K5" s="1967"/>
      <c r="L5" s="1968"/>
      <c r="M5" s="1965"/>
      <c r="N5" s="1966"/>
      <c r="O5" s="1967"/>
      <c r="P5" s="1968"/>
      <c r="Q5" s="2067"/>
      <c r="T5" s="209">
        <f>SUM('[7]PRIH REBALANS'!$AI$947:$AJ$947)</f>
        <v>448349</v>
      </c>
    </row>
    <row r="6" spans="1:21" ht="28.5" customHeight="1">
      <c r="A6" s="1962"/>
      <c r="B6" s="1963"/>
      <c r="C6" s="1963"/>
      <c r="D6" s="1969" t="s">
        <v>656</v>
      </c>
      <c r="E6" s="1597">
        <f>E7+E15+E26+E32+E27+E28+E31</f>
        <v>963000</v>
      </c>
      <c r="F6" s="1492">
        <f>F7+F15+F26+F32+F27+F28</f>
        <v>0</v>
      </c>
      <c r="G6" s="1493">
        <f>G7+G15+G26+G32+G27+G28</f>
        <v>386914</v>
      </c>
      <c r="H6" s="1471">
        <f>H7+H15+H26+H32+H27+H28+H31</f>
        <v>1349914</v>
      </c>
      <c r="I6" s="1597">
        <f>I7+I15+I26+I32+I27+I28+I31+I29+I30</f>
        <v>780000</v>
      </c>
      <c r="J6" s="1492">
        <f>J7+J15+J26+J32+J27+J28</f>
        <v>0</v>
      </c>
      <c r="K6" s="1493">
        <f>K7+K15+K26+K32+K27+K28</f>
        <v>0</v>
      </c>
      <c r="L6" s="1471">
        <f>L7+L15+L26+L32+L27+L28+L31+L29+L30</f>
        <v>780000</v>
      </c>
      <c r="M6" s="1597">
        <f>M7+M15+M26+M32+M27+M28+M31+M29+M30</f>
        <v>533000</v>
      </c>
      <c r="N6" s="1492">
        <f>N7+N15+N26+N32+N27+N28</f>
        <v>0</v>
      </c>
      <c r="O6" s="1493">
        <f>O7+O15+O26+O32+O27+O28</f>
        <v>657311</v>
      </c>
      <c r="P6" s="1471">
        <f>P7+P15+P26+P32+P27+P28+P31+P30+P29</f>
        <v>1190311</v>
      </c>
      <c r="Q6" s="2067">
        <f>P6/H6*100</f>
        <v>88.17680237407717</v>
      </c>
      <c r="R6" s="1142">
        <f>'[1]PRIH REBALANS'!$AK$933</f>
        <v>1190311</v>
      </c>
      <c r="T6" s="209">
        <f>M6+N6+O6-P6</f>
        <v>0</v>
      </c>
      <c r="U6" s="209">
        <f>E6+F6+G6-H6</f>
        <v>0</v>
      </c>
    </row>
    <row r="7" spans="1:21" s="287" customFormat="1" ht="28.5" customHeight="1">
      <c r="A7" s="1970" t="s">
        <v>319</v>
      </c>
      <c r="B7" s="1971"/>
      <c r="C7" s="1972" t="s">
        <v>742</v>
      </c>
      <c r="D7" s="1973" t="s">
        <v>235</v>
      </c>
      <c r="E7" s="1974">
        <f>E9+E10+E11+E12+E14</f>
        <v>90000</v>
      </c>
      <c r="F7" s="1975"/>
      <c r="G7" s="1976">
        <f>G9+G10+G11+G12+G14+G13</f>
        <v>75794</v>
      </c>
      <c r="H7" s="1977">
        <f>H9+H10+H11+H12+H14+H13</f>
        <v>165794</v>
      </c>
      <c r="I7" s="1974">
        <f>I9+I10+I11+I12+I14</f>
        <v>200000</v>
      </c>
      <c r="J7" s="1975"/>
      <c r="K7" s="1976">
        <f>K9+K10+K11+K12+K14+K13</f>
        <v>0</v>
      </c>
      <c r="L7" s="1977">
        <f>L9+L10+L11+L12+L14+L13</f>
        <v>200000</v>
      </c>
      <c r="M7" s="1979">
        <f>SUM(M9:M14)</f>
        <v>90000</v>
      </c>
      <c r="N7" s="1980">
        <f>SUM(N9:N14)</f>
        <v>0</v>
      </c>
      <c r="O7" s="1981">
        <f>SUM(O9:O14)</f>
        <v>134451</v>
      </c>
      <c r="P7" s="2061">
        <f>SUM(P9:P14)</f>
        <v>224451</v>
      </c>
      <c r="Q7" s="2068">
        <f>P7/H7*100</f>
        <v>135.37944678335768</v>
      </c>
      <c r="R7" s="1142">
        <f t="shared" ref="R7:R40" si="0">M7+N7+O7-P7</f>
        <v>0</v>
      </c>
      <c r="T7" s="209">
        <f t="shared" ref="T7:T37" si="1">M7+N7+O7-P7</f>
        <v>0</v>
      </c>
      <c r="U7" s="209">
        <f t="shared" ref="U7:U36" si="2">E7+F7+G7-H7</f>
        <v>0</v>
      </c>
    </row>
    <row r="8" spans="1:21" ht="28.5" hidden="1" customHeight="1">
      <c r="A8" s="1982">
        <v>111</v>
      </c>
      <c r="B8" s="1972"/>
      <c r="C8" s="1972">
        <v>614300</v>
      </c>
      <c r="D8" s="1983"/>
      <c r="E8" s="1978">
        <f>SUM(E9:E17)</f>
        <v>151000</v>
      </c>
      <c r="F8" s="1391"/>
      <c r="G8" s="1915"/>
      <c r="H8" s="1434">
        <f>SUM(H9:H17,H27:H36)</f>
        <v>1534034</v>
      </c>
      <c r="I8" s="1610">
        <v>15000</v>
      </c>
      <c r="J8" s="1333"/>
      <c r="K8" s="1334"/>
      <c r="L8" s="1433">
        <f>I8+J8+K8</f>
        <v>15000</v>
      </c>
      <c r="M8" s="1978"/>
      <c r="N8" s="1391"/>
      <c r="O8" s="1915"/>
      <c r="P8" s="1434"/>
      <c r="Q8" s="2068">
        <f t="shared" ref="Q8:Q14" si="3">P8/H8*100</f>
        <v>0</v>
      </c>
      <c r="R8" s="1142">
        <f t="shared" si="0"/>
        <v>0</v>
      </c>
      <c r="T8" s="209">
        <f t="shared" si="1"/>
        <v>0</v>
      </c>
      <c r="U8" s="209">
        <f t="shared" si="2"/>
        <v>-1383034</v>
      </c>
    </row>
    <row r="9" spans="1:21" s="285" customFormat="1" ht="28.5" customHeight="1">
      <c r="A9" s="1984" t="s">
        <v>319</v>
      </c>
      <c r="B9" s="1985"/>
      <c r="C9" s="1986">
        <v>613991</v>
      </c>
      <c r="D9" s="1987" t="s">
        <v>500</v>
      </c>
      <c r="E9" s="1610">
        <v>15000</v>
      </c>
      <c r="F9" s="1333"/>
      <c r="G9" s="1334"/>
      <c r="H9" s="1433">
        <f>E9+F9+G9</f>
        <v>15000</v>
      </c>
      <c r="I9" s="1610">
        <v>50000</v>
      </c>
      <c r="J9" s="1333"/>
      <c r="K9" s="1334"/>
      <c r="L9" s="1433">
        <f t="shared" ref="L9:L13" si="4">I9+J9+K9</f>
        <v>50000</v>
      </c>
      <c r="M9" s="1610">
        <v>15000</v>
      </c>
      <c r="N9" s="1333"/>
      <c r="O9" s="1334"/>
      <c r="P9" s="1433">
        <f>M9+N9+O9</f>
        <v>15000</v>
      </c>
      <c r="Q9" s="2068">
        <f t="shared" si="3"/>
        <v>100</v>
      </c>
      <c r="R9" s="1142">
        <f t="shared" si="0"/>
        <v>0</v>
      </c>
      <c r="T9" s="209">
        <f t="shared" si="1"/>
        <v>0</v>
      </c>
      <c r="U9" s="209">
        <f t="shared" si="2"/>
        <v>0</v>
      </c>
    </row>
    <row r="10" spans="1:21" s="285" customFormat="1" ht="28.5" customHeight="1">
      <c r="A10" s="1984" t="s">
        <v>319</v>
      </c>
      <c r="B10" s="1985"/>
      <c r="C10" s="1986">
        <v>613991</v>
      </c>
      <c r="D10" s="1987" t="s">
        <v>501</v>
      </c>
      <c r="E10" s="1610">
        <v>15000</v>
      </c>
      <c r="F10" s="1333"/>
      <c r="G10" s="1334"/>
      <c r="H10" s="1433">
        <f t="shared" ref="H10:H14" si="5">E10+F10+G10</f>
        <v>15000</v>
      </c>
      <c r="I10" s="1610">
        <v>50000</v>
      </c>
      <c r="J10" s="1333"/>
      <c r="K10" s="1334"/>
      <c r="L10" s="1433">
        <f t="shared" si="4"/>
        <v>50000</v>
      </c>
      <c r="M10" s="1610">
        <v>15000</v>
      </c>
      <c r="N10" s="1333"/>
      <c r="O10" s="1334"/>
      <c r="P10" s="1433">
        <f t="shared" ref="P10:P14" si="6">M10+N10+O10</f>
        <v>15000</v>
      </c>
      <c r="Q10" s="2068">
        <f t="shared" si="3"/>
        <v>100</v>
      </c>
      <c r="R10" s="1142">
        <f t="shared" si="0"/>
        <v>0</v>
      </c>
      <c r="T10" s="209">
        <f t="shared" si="1"/>
        <v>0</v>
      </c>
      <c r="U10" s="209">
        <f t="shared" si="2"/>
        <v>0</v>
      </c>
    </row>
    <row r="11" spans="1:21" s="285" customFormat="1" ht="31.5" customHeight="1">
      <c r="A11" s="1984" t="s">
        <v>319</v>
      </c>
      <c r="B11" s="1985"/>
      <c r="C11" s="1986" t="s">
        <v>234</v>
      </c>
      <c r="D11" s="1987" t="s">
        <v>743</v>
      </c>
      <c r="E11" s="1610">
        <v>50000</v>
      </c>
      <c r="F11" s="1333"/>
      <c r="G11" s="1334"/>
      <c r="H11" s="1433">
        <f t="shared" si="5"/>
        <v>50000</v>
      </c>
      <c r="I11" s="1610">
        <v>100000</v>
      </c>
      <c r="J11" s="1333"/>
      <c r="K11" s="1334"/>
      <c r="L11" s="1433">
        <f t="shared" si="4"/>
        <v>100000</v>
      </c>
      <c r="M11" s="1610">
        <v>50000</v>
      </c>
      <c r="N11" s="1333"/>
      <c r="O11" s="1334"/>
      <c r="P11" s="1433">
        <f t="shared" si="6"/>
        <v>50000</v>
      </c>
      <c r="Q11" s="2068">
        <f t="shared" si="3"/>
        <v>100</v>
      </c>
      <c r="R11" s="1142">
        <f t="shared" si="0"/>
        <v>0</v>
      </c>
      <c r="T11" s="209">
        <f t="shared" si="1"/>
        <v>0</v>
      </c>
      <c r="U11" s="209">
        <f t="shared" si="2"/>
        <v>0</v>
      </c>
    </row>
    <row r="12" spans="1:21" s="285" customFormat="1" ht="50.25" customHeight="1">
      <c r="A12" s="1984" t="s">
        <v>319</v>
      </c>
      <c r="B12" s="1985"/>
      <c r="C12" s="1986">
        <v>613934</v>
      </c>
      <c r="D12" s="1987" t="s">
        <v>744</v>
      </c>
      <c r="E12" s="1610">
        <v>10000</v>
      </c>
      <c r="F12" s="1333"/>
      <c r="G12" s="1334"/>
      <c r="H12" s="1433">
        <f t="shared" si="5"/>
        <v>10000</v>
      </c>
      <c r="I12" s="1610"/>
      <c r="J12" s="1333"/>
      <c r="K12" s="1334"/>
      <c r="L12" s="1433">
        <f t="shared" si="4"/>
        <v>0</v>
      </c>
      <c r="M12" s="1610">
        <v>10000</v>
      </c>
      <c r="N12" s="1333"/>
      <c r="O12" s="1334"/>
      <c r="P12" s="1433">
        <f t="shared" si="6"/>
        <v>10000</v>
      </c>
      <c r="Q12" s="2068">
        <f t="shared" si="3"/>
        <v>100</v>
      </c>
      <c r="R12" s="1142">
        <f t="shared" si="0"/>
        <v>0</v>
      </c>
      <c r="T12" s="209">
        <f t="shared" si="1"/>
        <v>0</v>
      </c>
      <c r="U12" s="209">
        <f t="shared" si="2"/>
        <v>0</v>
      </c>
    </row>
    <row r="13" spans="1:21" s="285" customFormat="1" ht="50.25" customHeight="1">
      <c r="A13" s="1988" t="s">
        <v>474</v>
      </c>
      <c r="B13" s="1985"/>
      <c r="C13" s="1986" t="s">
        <v>234</v>
      </c>
      <c r="D13" s="1989" t="s">
        <v>1327</v>
      </c>
      <c r="E13" s="1610"/>
      <c r="F13" s="1333"/>
      <c r="G13" s="1334">
        <v>39560</v>
      </c>
      <c r="H13" s="1433">
        <f t="shared" si="5"/>
        <v>39560</v>
      </c>
      <c r="I13" s="1990"/>
      <c r="J13" s="1991"/>
      <c r="K13" s="1992"/>
      <c r="L13" s="1433">
        <f t="shared" si="4"/>
        <v>0</v>
      </c>
      <c r="M13" s="1993"/>
      <c r="N13" s="1994"/>
      <c r="O13" s="1995">
        <v>134451</v>
      </c>
      <c r="P13" s="1433">
        <f t="shared" si="6"/>
        <v>134451</v>
      </c>
      <c r="Q13" s="2068">
        <f t="shared" si="3"/>
        <v>339.86602628918104</v>
      </c>
      <c r="R13" s="1142">
        <f t="shared" si="0"/>
        <v>0</v>
      </c>
      <c r="T13" s="209">
        <f t="shared" si="1"/>
        <v>0</v>
      </c>
      <c r="U13" s="209">
        <f t="shared" si="2"/>
        <v>0</v>
      </c>
    </row>
    <row r="14" spans="1:21" s="290" customFormat="1" ht="54" customHeight="1">
      <c r="A14" s="1988" t="s">
        <v>474</v>
      </c>
      <c r="B14" s="1996" t="s">
        <v>504</v>
      </c>
      <c r="C14" s="1997" t="s">
        <v>234</v>
      </c>
      <c r="D14" s="1989" t="s">
        <v>1301</v>
      </c>
      <c r="E14" s="1990"/>
      <c r="F14" s="1991"/>
      <c r="G14" s="1992">
        <v>36234</v>
      </c>
      <c r="H14" s="1433">
        <f t="shared" si="5"/>
        <v>36234</v>
      </c>
      <c r="I14" s="1990"/>
      <c r="J14" s="1991"/>
      <c r="K14" s="1992"/>
      <c r="L14" s="1433"/>
      <c r="M14" s="1610"/>
      <c r="N14" s="1333"/>
      <c r="O14" s="1334"/>
      <c r="P14" s="1433">
        <f t="shared" si="6"/>
        <v>0</v>
      </c>
      <c r="Q14" s="2068">
        <f t="shared" si="3"/>
        <v>0</v>
      </c>
      <c r="R14" s="1142">
        <f t="shared" si="0"/>
        <v>0</v>
      </c>
      <c r="T14" s="209">
        <f t="shared" si="1"/>
        <v>0</v>
      </c>
      <c r="U14" s="209">
        <f t="shared" si="2"/>
        <v>0</v>
      </c>
    </row>
    <row r="15" spans="1:21" ht="34.5" customHeight="1">
      <c r="A15" s="1982"/>
      <c r="B15" s="1972"/>
      <c r="C15" s="1998" t="s">
        <v>238</v>
      </c>
      <c r="D15" s="1999" t="s">
        <v>184</v>
      </c>
      <c r="E15" s="1978">
        <f t="shared" ref="E15:H15" si="7">SUM(E16:E25)</f>
        <v>43000</v>
      </c>
      <c r="F15" s="1391">
        <f t="shared" si="7"/>
        <v>0</v>
      </c>
      <c r="G15" s="1915">
        <f t="shared" si="7"/>
        <v>175000</v>
      </c>
      <c r="H15" s="1434">
        <f t="shared" si="7"/>
        <v>218000</v>
      </c>
      <c r="I15" s="1978">
        <f t="shared" ref="I15:O15" si="8">SUM(I16:I25)</f>
        <v>50000</v>
      </c>
      <c r="J15" s="1391">
        <f t="shared" si="8"/>
        <v>0</v>
      </c>
      <c r="K15" s="1915">
        <f t="shared" si="8"/>
        <v>0</v>
      </c>
      <c r="L15" s="1434">
        <f t="shared" si="8"/>
        <v>50000</v>
      </c>
      <c r="M15" s="1978">
        <f t="shared" si="8"/>
        <v>23000</v>
      </c>
      <c r="N15" s="1391">
        <f t="shared" si="8"/>
        <v>0</v>
      </c>
      <c r="O15" s="1915">
        <f t="shared" si="8"/>
        <v>0</v>
      </c>
      <c r="P15" s="1434">
        <f>SUM(P16:P25)</f>
        <v>23000</v>
      </c>
      <c r="Q15" s="2068">
        <f>P15/H15*100</f>
        <v>10.550458715596331</v>
      </c>
      <c r="R15" s="1142">
        <f t="shared" si="0"/>
        <v>0</v>
      </c>
      <c r="T15" s="209">
        <f t="shared" si="1"/>
        <v>0</v>
      </c>
      <c r="U15" s="209">
        <f t="shared" si="2"/>
        <v>0</v>
      </c>
    </row>
    <row r="16" spans="1:21" s="285" customFormat="1" ht="28.5" customHeight="1">
      <c r="A16" s="1984" t="s">
        <v>319</v>
      </c>
      <c r="B16" s="1985"/>
      <c r="C16" s="1986">
        <v>614311</v>
      </c>
      <c r="D16" s="1987" t="s">
        <v>501</v>
      </c>
      <c r="E16" s="1610">
        <v>15000</v>
      </c>
      <c r="F16" s="1333"/>
      <c r="G16" s="1334"/>
      <c r="H16" s="1433">
        <f>E16+F16+G16</f>
        <v>15000</v>
      </c>
      <c r="I16" s="1610">
        <v>15000</v>
      </c>
      <c r="J16" s="1333"/>
      <c r="K16" s="1334"/>
      <c r="L16" s="1433">
        <f>I16+J16+K16</f>
        <v>15000</v>
      </c>
      <c r="M16" s="1610">
        <v>15000</v>
      </c>
      <c r="N16" s="1333"/>
      <c r="O16" s="1334"/>
      <c r="P16" s="1433">
        <f t="shared" ref="P16:P17" si="9">M16+N16+O16</f>
        <v>15000</v>
      </c>
      <c r="Q16" s="2068">
        <f t="shared" ref="Q16:Q20" si="10">P16/H16*100</f>
        <v>100</v>
      </c>
      <c r="R16" s="1142">
        <f t="shared" si="0"/>
        <v>0</v>
      </c>
      <c r="T16" s="209">
        <f t="shared" si="1"/>
        <v>0</v>
      </c>
      <c r="U16" s="209">
        <f t="shared" si="2"/>
        <v>0</v>
      </c>
    </row>
    <row r="17" spans="1:21" s="285" customFormat="1" ht="28.5" customHeight="1">
      <c r="A17" s="1984" t="s">
        <v>319</v>
      </c>
      <c r="B17" s="1985"/>
      <c r="C17" s="1986">
        <v>614311</v>
      </c>
      <c r="D17" s="1987" t="s">
        <v>503</v>
      </c>
      <c r="E17" s="1610">
        <v>3000</v>
      </c>
      <c r="F17" s="1333"/>
      <c r="G17" s="1334"/>
      <c r="H17" s="1433">
        <f t="shared" ref="H17:H25" si="11">E17+F17+G17</f>
        <v>3000</v>
      </c>
      <c r="I17" s="1610">
        <v>10000</v>
      </c>
      <c r="J17" s="1333"/>
      <c r="K17" s="1334"/>
      <c r="L17" s="1433">
        <f t="shared" ref="L17:L19" si="12">I17+J17+K17</f>
        <v>10000</v>
      </c>
      <c r="M17" s="1610">
        <v>3000</v>
      </c>
      <c r="N17" s="1333"/>
      <c r="O17" s="1334"/>
      <c r="P17" s="1433">
        <f t="shared" si="9"/>
        <v>3000</v>
      </c>
      <c r="Q17" s="2068">
        <f t="shared" si="10"/>
        <v>100</v>
      </c>
      <c r="R17" s="1142">
        <f t="shared" si="0"/>
        <v>0</v>
      </c>
      <c r="T17" s="209">
        <f t="shared" si="1"/>
        <v>0</v>
      </c>
      <c r="U17" s="209">
        <f t="shared" si="2"/>
        <v>0</v>
      </c>
    </row>
    <row r="18" spans="1:21" s="285" customFormat="1" ht="28.5" customHeight="1">
      <c r="A18" s="1984" t="s">
        <v>319</v>
      </c>
      <c r="B18" s="1985"/>
      <c r="C18" s="1986" t="s">
        <v>404</v>
      </c>
      <c r="D18" s="1987" t="s">
        <v>502</v>
      </c>
      <c r="E18" s="1610">
        <v>5000</v>
      </c>
      <c r="F18" s="1333"/>
      <c r="G18" s="1334"/>
      <c r="H18" s="1433">
        <f t="shared" si="11"/>
        <v>5000</v>
      </c>
      <c r="I18" s="1610">
        <v>5000</v>
      </c>
      <c r="J18" s="1333"/>
      <c r="K18" s="1334"/>
      <c r="L18" s="1433">
        <f t="shared" si="12"/>
        <v>5000</v>
      </c>
      <c r="M18" s="1610">
        <v>5000</v>
      </c>
      <c r="N18" s="1333"/>
      <c r="O18" s="1334"/>
      <c r="P18" s="1433">
        <f>M18+N18+O18</f>
        <v>5000</v>
      </c>
      <c r="Q18" s="2068">
        <f t="shared" si="10"/>
        <v>100</v>
      </c>
      <c r="R18" s="1142">
        <f t="shared" si="0"/>
        <v>0</v>
      </c>
      <c r="T18" s="209">
        <f t="shared" si="1"/>
        <v>0</v>
      </c>
      <c r="U18" s="209">
        <f t="shared" si="2"/>
        <v>0</v>
      </c>
    </row>
    <row r="19" spans="1:21" s="290" customFormat="1" ht="39.75" customHeight="1">
      <c r="A19" s="1984" t="s">
        <v>319</v>
      </c>
      <c r="B19" s="2000" t="s">
        <v>504</v>
      </c>
      <c r="C19" s="2001" t="s">
        <v>238</v>
      </c>
      <c r="D19" s="2002" t="s">
        <v>505</v>
      </c>
      <c r="E19" s="1610">
        <v>20000</v>
      </c>
      <c r="F19" s="1333"/>
      <c r="G19" s="1334"/>
      <c r="H19" s="1433">
        <f t="shared" si="11"/>
        <v>20000</v>
      </c>
      <c r="I19" s="1610">
        <v>20000</v>
      </c>
      <c r="J19" s="1333"/>
      <c r="K19" s="1334"/>
      <c r="L19" s="1433">
        <f t="shared" si="12"/>
        <v>20000</v>
      </c>
      <c r="M19" s="1993"/>
      <c r="N19" s="1994"/>
      <c r="O19" s="1995"/>
      <c r="P19" s="2060"/>
      <c r="Q19" s="2068">
        <f t="shared" si="10"/>
        <v>0</v>
      </c>
      <c r="R19" s="1142">
        <f t="shared" si="0"/>
        <v>0</v>
      </c>
      <c r="T19" s="209">
        <f t="shared" si="1"/>
        <v>0</v>
      </c>
      <c r="U19" s="209">
        <f t="shared" si="2"/>
        <v>0</v>
      </c>
    </row>
    <row r="20" spans="1:21" s="290" customFormat="1" ht="28.5" customHeight="1">
      <c r="A20" s="1988" t="s">
        <v>474</v>
      </c>
      <c r="B20" s="2000"/>
      <c r="C20" s="2001" t="s">
        <v>238</v>
      </c>
      <c r="D20" s="2002" t="s">
        <v>1302</v>
      </c>
      <c r="E20" s="1610"/>
      <c r="F20" s="1333"/>
      <c r="G20" s="1334">
        <v>20000</v>
      </c>
      <c r="H20" s="1433">
        <f t="shared" si="11"/>
        <v>20000</v>
      </c>
      <c r="I20" s="1610"/>
      <c r="J20" s="1333"/>
      <c r="K20" s="1334"/>
      <c r="L20" s="1433"/>
      <c r="M20" s="1993"/>
      <c r="N20" s="1994"/>
      <c r="O20" s="1995"/>
      <c r="P20" s="2060"/>
      <c r="Q20" s="2068">
        <f t="shared" si="10"/>
        <v>0</v>
      </c>
      <c r="R20" s="1142">
        <f t="shared" si="0"/>
        <v>0</v>
      </c>
      <c r="T20" s="209">
        <f t="shared" si="1"/>
        <v>0</v>
      </c>
      <c r="U20" s="209">
        <f t="shared" si="2"/>
        <v>0</v>
      </c>
    </row>
    <row r="21" spans="1:21" s="290" customFormat="1" ht="28.5" customHeight="1">
      <c r="A21" s="1988" t="s">
        <v>474</v>
      </c>
      <c r="B21" s="2000"/>
      <c r="C21" s="2001" t="s">
        <v>238</v>
      </c>
      <c r="D21" s="2002" t="s">
        <v>1303</v>
      </c>
      <c r="E21" s="1610"/>
      <c r="F21" s="1333"/>
      <c r="G21" s="1334">
        <v>100000</v>
      </c>
      <c r="H21" s="1433">
        <f t="shared" si="11"/>
        <v>100000</v>
      </c>
      <c r="I21" s="1610"/>
      <c r="J21" s="1333"/>
      <c r="K21" s="1334"/>
      <c r="L21" s="1433"/>
      <c r="M21" s="1993"/>
      <c r="N21" s="1994"/>
      <c r="O21" s="1995"/>
      <c r="P21" s="2060"/>
      <c r="Q21" s="2068">
        <f>P19/H21*100</f>
        <v>0</v>
      </c>
      <c r="R21" s="1142">
        <f t="shared" si="0"/>
        <v>0</v>
      </c>
      <c r="T21" s="209">
        <f t="shared" si="1"/>
        <v>0</v>
      </c>
      <c r="U21" s="209">
        <f t="shared" si="2"/>
        <v>0</v>
      </c>
    </row>
    <row r="22" spans="1:21" s="290" customFormat="1" ht="28.5" customHeight="1">
      <c r="A22" s="1988" t="s">
        <v>474</v>
      </c>
      <c r="B22" s="2000"/>
      <c r="C22" s="2001" t="s">
        <v>238</v>
      </c>
      <c r="D22" s="2003" t="s">
        <v>1304</v>
      </c>
      <c r="E22" s="1610"/>
      <c r="F22" s="1333"/>
      <c r="G22" s="1334">
        <v>5000</v>
      </c>
      <c r="H22" s="1433">
        <f t="shared" si="11"/>
        <v>5000</v>
      </c>
      <c r="I22" s="1610"/>
      <c r="J22" s="1333"/>
      <c r="K22" s="1334"/>
      <c r="L22" s="1433"/>
      <c r="M22" s="1993"/>
      <c r="N22" s="1994"/>
      <c r="O22" s="1995"/>
      <c r="P22" s="2060"/>
      <c r="Q22" s="2068">
        <f>P20/H22*100</f>
        <v>0</v>
      </c>
      <c r="R22" s="1142">
        <f t="shared" si="0"/>
        <v>0</v>
      </c>
      <c r="T22" s="209">
        <f t="shared" si="1"/>
        <v>0</v>
      </c>
      <c r="U22" s="209">
        <f t="shared" si="2"/>
        <v>0</v>
      </c>
    </row>
    <row r="23" spans="1:21" s="290" customFormat="1" ht="28.5" customHeight="1">
      <c r="A23" s="1988" t="s">
        <v>474</v>
      </c>
      <c r="B23" s="2000"/>
      <c r="C23" s="2001" t="s">
        <v>404</v>
      </c>
      <c r="D23" s="2003" t="s">
        <v>1466</v>
      </c>
      <c r="E23" s="1610"/>
      <c r="F23" s="1333"/>
      <c r="G23" s="1334">
        <v>25000</v>
      </c>
      <c r="H23" s="1433">
        <f t="shared" si="11"/>
        <v>25000</v>
      </c>
      <c r="I23" s="1610"/>
      <c r="J23" s="1333"/>
      <c r="K23" s="1334"/>
      <c r="L23" s="1433"/>
      <c r="M23" s="1993"/>
      <c r="N23" s="1994"/>
      <c r="O23" s="1995"/>
      <c r="P23" s="2060"/>
      <c r="Q23" s="2068">
        <f>P21/H23*100</f>
        <v>0</v>
      </c>
      <c r="R23" s="1142">
        <f t="shared" si="0"/>
        <v>0</v>
      </c>
      <c r="T23" s="209">
        <f t="shared" si="1"/>
        <v>0</v>
      </c>
      <c r="U23" s="209">
        <f t="shared" si="2"/>
        <v>0</v>
      </c>
    </row>
    <row r="24" spans="1:21" s="290" customFormat="1" ht="28.5" customHeight="1">
      <c r="A24" s="1988" t="s">
        <v>474</v>
      </c>
      <c r="B24" s="2000"/>
      <c r="C24" s="2001" t="s">
        <v>404</v>
      </c>
      <c r="D24" s="2003" t="s">
        <v>1467</v>
      </c>
      <c r="E24" s="1610"/>
      <c r="F24" s="1333"/>
      <c r="G24" s="1334">
        <v>10000</v>
      </c>
      <c r="H24" s="1433">
        <f t="shared" si="11"/>
        <v>10000</v>
      </c>
      <c r="I24" s="1610"/>
      <c r="J24" s="1333"/>
      <c r="K24" s="1334"/>
      <c r="L24" s="1433"/>
      <c r="M24" s="2004"/>
      <c r="N24" s="2005"/>
      <c r="O24" s="2006"/>
      <c r="P24" s="2062"/>
      <c r="Q24" s="2068">
        <f>P22/H24*100</f>
        <v>0</v>
      </c>
      <c r="R24" s="1142">
        <f t="shared" si="0"/>
        <v>0</v>
      </c>
      <c r="T24" s="209">
        <f t="shared" si="1"/>
        <v>0</v>
      </c>
      <c r="U24" s="209">
        <f t="shared" si="2"/>
        <v>0</v>
      </c>
    </row>
    <row r="25" spans="1:21" s="290" customFormat="1" ht="28.5" customHeight="1">
      <c r="A25" s="1988" t="s">
        <v>474</v>
      </c>
      <c r="B25" s="2000"/>
      <c r="C25" s="2001" t="s">
        <v>404</v>
      </c>
      <c r="D25" s="2003" t="s">
        <v>1468</v>
      </c>
      <c r="E25" s="1610"/>
      <c r="F25" s="1333"/>
      <c r="G25" s="1334">
        <v>15000</v>
      </c>
      <c r="H25" s="1433">
        <f t="shared" si="11"/>
        <v>15000</v>
      </c>
      <c r="I25" s="1610"/>
      <c r="J25" s="1333"/>
      <c r="K25" s="1334"/>
      <c r="L25" s="1433"/>
      <c r="M25" s="2004"/>
      <c r="N25" s="1994"/>
      <c r="O25" s="1995"/>
      <c r="P25" s="2062"/>
      <c r="Q25" s="2068">
        <f>P23/H25*100</f>
        <v>0</v>
      </c>
      <c r="R25" s="1142">
        <f t="shared" si="0"/>
        <v>0</v>
      </c>
      <c r="T25" s="209">
        <f t="shared" si="1"/>
        <v>0</v>
      </c>
      <c r="U25" s="209">
        <f t="shared" si="2"/>
        <v>0</v>
      </c>
    </row>
    <row r="26" spans="1:21" s="288" customFormat="1" ht="28.5" hidden="1" customHeight="1">
      <c r="A26" s="2007"/>
      <c r="B26" s="2008"/>
      <c r="C26" s="2009"/>
      <c r="D26" s="2010"/>
      <c r="E26" s="1978"/>
      <c r="F26" s="1391"/>
      <c r="G26" s="1915"/>
      <c r="H26" s="1433"/>
      <c r="I26" s="1610"/>
      <c r="J26" s="1333"/>
      <c r="K26" s="1334"/>
      <c r="L26" s="1433"/>
      <c r="M26" s="2004"/>
      <c r="N26" s="1994"/>
      <c r="O26" s="1995"/>
      <c r="P26" s="1433"/>
      <c r="Q26" s="2068"/>
      <c r="R26" s="1142">
        <f t="shared" si="0"/>
        <v>0</v>
      </c>
      <c r="T26" s="209">
        <f t="shared" si="1"/>
        <v>0</v>
      </c>
      <c r="U26" s="209">
        <f t="shared" si="2"/>
        <v>0</v>
      </c>
    </row>
    <row r="27" spans="1:21" s="288" customFormat="1" ht="40.5" customHeight="1">
      <c r="A27" s="1988" t="s">
        <v>319</v>
      </c>
      <c r="B27" s="2000" t="s">
        <v>504</v>
      </c>
      <c r="C27" s="2107" t="s">
        <v>305</v>
      </c>
      <c r="D27" s="2002" t="s">
        <v>805</v>
      </c>
      <c r="E27" s="1978">
        <v>150000</v>
      </c>
      <c r="F27" s="1333"/>
      <c r="G27" s="1334"/>
      <c r="H27" s="1434">
        <f t="shared" ref="H27:H31" si="13">E27+F27+G27</f>
        <v>150000</v>
      </c>
      <c r="I27" s="1978">
        <v>150000</v>
      </c>
      <c r="J27" s="1333"/>
      <c r="K27" s="1334"/>
      <c r="L27" s="1434">
        <f t="shared" ref="L27:L31" si="14">I27+J27+K27</f>
        <v>150000</v>
      </c>
      <c r="M27" s="2004">
        <v>120000</v>
      </c>
      <c r="N27" s="2005"/>
      <c r="O27" s="2006"/>
      <c r="P27" s="1434">
        <f t="shared" ref="P27:P31" si="15">M27+N27+O27</f>
        <v>120000</v>
      </c>
      <c r="Q27" s="2109">
        <f>P27/H27*100</f>
        <v>80</v>
      </c>
      <c r="R27" s="1142">
        <f t="shared" si="0"/>
        <v>0</v>
      </c>
      <c r="S27" s="449"/>
      <c r="T27" s="209">
        <f t="shared" si="1"/>
        <v>0</v>
      </c>
      <c r="U27" s="209">
        <f t="shared" si="2"/>
        <v>0</v>
      </c>
    </row>
    <row r="28" spans="1:21" s="288" customFormat="1" ht="40.5" customHeight="1">
      <c r="A28" s="1984" t="s">
        <v>319</v>
      </c>
      <c r="B28" s="1985" t="s">
        <v>504</v>
      </c>
      <c r="C28" s="2108" t="s">
        <v>305</v>
      </c>
      <c r="D28" s="1987" t="s">
        <v>1217</v>
      </c>
      <c r="E28" s="1978">
        <v>150000</v>
      </c>
      <c r="F28" s="1333"/>
      <c r="G28" s="1334"/>
      <c r="H28" s="1434">
        <f t="shared" si="13"/>
        <v>150000</v>
      </c>
      <c r="I28" s="1978">
        <v>150000</v>
      </c>
      <c r="J28" s="1333"/>
      <c r="K28" s="1334"/>
      <c r="L28" s="1434">
        <f t="shared" si="14"/>
        <v>150000</v>
      </c>
      <c r="M28" s="2004">
        <v>150000</v>
      </c>
      <c r="N28" s="2005"/>
      <c r="O28" s="2006"/>
      <c r="P28" s="1434">
        <f t="shared" si="15"/>
        <v>150000</v>
      </c>
      <c r="Q28" s="2109">
        <f t="shared" ref="Q28" si="16">P28/H28*100</f>
        <v>100</v>
      </c>
      <c r="R28" s="1142">
        <f t="shared" si="0"/>
        <v>0</v>
      </c>
      <c r="T28" s="209">
        <f t="shared" si="1"/>
        <v>0</v>
      </c>
      <c r="U28" s="209">
        <f t="shared" si="2"/>
        <v>0</v>
      </c>
    </row>
    <row r="29" spans="1:21" s="288" customFormat="1" ht="40.5" customHeight="1">
      <c r="A29" s="1984"/>
      <c r="B29" s="1985"/>
      <c r="C29" s="2108" t="s">
        <v>1700</v>
      </c>
      <c r="D29" s="1999" t="s">
        <v>1698</v>
      </c>
      <c r="E29" s="1978"/>
      <c r="F29" s="1391"/>
      <c r="G29" s="1915"/>
      <c r="H29" s="1434"/>
      <c r="I29" s="1978">
        <v>50000</v>
      </c>
      <c r="J29" s="1391"/>
      <c r="K29" s="1915"/>
      <c r="L29" s="1434">
        <f t="shared" si="14"/>
        <v>50000</v>
      </c>
      <c r="M29" s="2004">
        <v>30000</v>
      </c>
      <c r="N29" s="2005"/>
      <c r="O29" s="2006"/>
      <c r="P29" s="1434">
        <f t="shared" si="15"/>
        <v>30000</v>
      </c>
      <c r="Q29" s="2109"/>
      <c r="R29" s="1142">
        <f t="shared" si="0"/>
        <v>0</v>
      </c>
      <c r="T29" s="209"/>
      <c r="U29" s="209"/>
    </row>
    <row r="30" spans="1:21" s="288" customFormat="1" ht="40.5" customHeight="1">
      <c r="A30" s="1984"/>
      <c r="B30" s="1985"/>
      <c r="C30" s="2108" t="s">
        <v>1701</v>
      </c>
      <c r="D30" s="1999" t="s">
        <v>1699</v>
      </c>
      <c r="E30" s="1978"/>
      <c r="F30" s="1391"/>
      <c r="G30" s="1915"/>
      <c r="H30" s="1434"/>
      <c r="I30" s="1978">
        <v>150000</v>
      </c>
      <c r="J30" s="1391"/>
      <c r="K30" s="1915"/>
      <c r="L30" s="1434">
        <f t="shared" si="14"/>
        <v>150000</v>
      </c>
      <c r="M30" s="2004">
        <v>100000</v>
      </c>
      <c r="N30" s="2005"/>
      <c r="O30" s="2006"/>
      <c r="P30" s="1434">
        <f t="shared" si="15"/>
        <v>100000</v>
      </c>
      <c r="Q30" s="2109"/>
      <c r="R30" s="1142">
        <f t="shared" si="0"/>
        <v>0</v>
      </c>
      <c r="T30" s="209"/>
      <c r="U30" s="209"/>
    </row>
    <row r="31" spans="1:21" s="735" customFormat="1" ht="37.5" customHeight="1">
      <c r="A31" s="2071" t="s">
        <v>319</v>
      </c>
      <c r="B31" s="2000"/>
      <c r="C31" s="2001" t="s">
        <v>514</v>
      </c>
      <c r="D31" s="2002" t="s">
        <v>1325</v>
      </c>
      <c r="E31" s="1978">
        <v>500000</v>
      </c>
      <c r="F31" s="1333"/>
      <c r="G31" s="1334"/>
      <c r="H31" s="1434">
        <f t="shared" si="13"/>
        <v>500000</v>
      </c>
      <c r="I31" s="1978"/>
      <c r="J31" s="1333"/>
      <c r="K31" s="1334"/>
      <c r="L31" s="1434">
        <f t="shared" si="14"/>
        <v>0</v>
      </c>
      <c r="M31" s="1993"/>
      <c r="N31" s="1994"/>
      <c r="O31" s="1995"/>
      <c r="P31" s="1433">
        <f t="shared" si="15"/>
        <v>0</v>
      </c>
      <c r="Q31" s="2068"/>
      <c r="R31" s="1142">
        <f t="shared" si="0"/>
        <v>0</v>
      </c>
      <c r="T31" s="209">
        <f t="shared" si="1"/>
        <v>0</v>
      </c>
      <c r="U31" s="734">
        <f t="shared" si="2"/>
        <v>0</v>
      </c>
    </row>
    <row r="32" spans="1:21" s="291" customFormat="1" ht="37.5" customHeight="1">
      <c r="A32" s="2007" t="s">
        <v>319</v>
      </c>
      <c r="B32" s="2008"/>
      <c r="C32" s="2009" t="s">
        <v>195</v>
      </c>
      <c r="D32" s="2011" t="s">
        <v>468</v>
      </c>
      <c r="E32" s="1978">
        <f>SUM(E33:E35)</f>
        <v>30000</v>
      </c>
      <c r="F32" s="1391"/>
      <c r="G32" s="1915">
        <f>G33+G34+G35+G36</f>
        <v>136120</v>
      </c>
      <c r="H32" s="1434">
        <f>H33+H34+H35+H36</f>
        <v>166120</v>
      </c>
      <c r="I32" s="1978">
        <f>SUM(I33:I35)</f>
        <v>30000</v>
      </c>
      <c r="J32" s="1391"/>
      <c r="K32" s="1915">
        <f>K33+K34+K35+K36</f>
        <v>0</v>
      </c>
      <c r="L32" s="2012">
        <f>L33+L34+L35+L36</f>
        <v>30000</v>
      </c>
      <c r="M32" s="2013">
        <f>SUM(M33:M37)</f>
        <v>20000</v>
      </c>
      <c r="N32" s="2005"/>
      <c r="O32" s="2006">
        <f>SUM(O33:O37)</f>
        <v>522860</v>
      </c>
      <c r="P32" s="2063">
        <f>SUM(P33:P37)</f>
        <v>542860</v>
      </c>
      <c r="Q32" s="2109">
        <f t="shared" ref="Q32:Q34" si="17">P32/H32*100</f>
        <v>326.78786419455815</v>
      </c>
      <c r="R32" s="1142">
        <f t="shared" si="0"/>
        <v>0</v>
      </c>
      <c r="T32" s="209">
        <f t="shared" si="1"/>
        <v>0</v>
      </c>
      <c r="U32" s="209">
        <f t="shared" si="2"/>
        <v>0</v>
      </c>
    </row>
    <row r="33" spans="1:21" s="290" customFormat="1" ht="28.5" customHeight="1">
      <c r="A33" s="1988" t="s">
        <v>474</v>
      </c>
      <c r="B33" s="2000" t="s">
        <v>504</v>
      </c>
      <c r="C33" s="2001" t="s">
        <v>195</v>
      </c>
      <c r="D33" s="2002" t="s">
        <v>1326</v>
      </c>
      <c r="E33" s="1610"/>
      <c r="F33" s="1333"/>
      <c r="G33" s="1334">
        <v>82371</v>
      </c>
      <c r="H33" s="1433">
        <f>E33+F33+G33</f>
        <v>82371</v>
      </c>
      <c r="I33" s="1610"/>
      <c r="J33" s="1333"/>
      <c r="K33" s="1334"/>
      <c r="L33" s="2014">
        <f>I33+J33+K33</f>
        <v>0</v>
      </c>
      <c r="M33" s="2015"/>
      <c r="N33" s="1994"/>
      <c r="O33" s="1995"/>
      <c r="P33" s="2064">
        <f t="shared" ref="P33:P36" si="18">M33+N33+O33</f>
        <v>0</v>
      </c>
      <c r="Q33" s="2068">
        <f t="shared" si="17"/>
        <v>0</v>
      </c>
      <c r="R33" s="1142">
        <f t="shared" si="0"/>
        <v>0</v>
      </c>
      <c r="T33" s="209">
        <f t="shared" si="1"/>
        <v>0</v>
      </c>
      <c r="U33" s="209">
        <f t="shared" si="2"/>
        <v>0</v>
      </c>
    </row>
    <row r="34" spans="1:21" s="290" customFormat="1" ht="28.5" customHeight="1">
      <c r="A34" s="1988" t="s">
        <v>474</v>
      </c>
      <c r="B34" s="2000"/>
      <c r="C34" s="2001" t="s">
        <v>195</v>
      </c>
      <c r="D34" s="2002" t="s">
        <v>1309</v>
      </c>
      <c r="E34" s="1610"/>
      <c r="F34" s="1333"/>
      <c r="G34" s="1334">
        <v>53749</v>
      </c>
      <c r="H34" s="1433">
        <f t="shared" ref="H34:H35" si="19">E34+F34+G34</f>
        <v>53749</v>
      </c>
      <c r="I34" s="1610"/>
      <c r="J34" s="1333"/>
      <c r="K34" s="1334"/>
      <c r="L34" s="2014">
        <f t="shared" ref="L34:L35" si="20">I34+J34+K34</f>
        <v>0</v>
      </c>
      <c r="M34" s="2015"/>
      <c r="N34" s="1994"/>
      <c r="O34" s="1995"/>
      <c r="P34" s="2064">
        <f t="shared" si="18"/>
        <v>0</v>
      </c>
      <c r="Q34" s="2068">
        <f t="shared" si="17"/>
        <v>0</v>
      </c>
      <c r="R34" s="1142">
        <f t="shared" si="0"/>
        <v>0</v>
      </c>
      <c r="T34" s="209">
        <f t="shared" si="1"/>
        <v>0</v>
      </c>
      <c r="U34" s="209">
        <f t="shared" si="2"/>
        <v>0</v>
      </c>
    </row>
    <row r="35" spans="1:21" s="290" customFormat="1" ht="46.5" customHeight="1">
      <c r="A35" s="1988" t="s">
        <v>319</v>
      </c>
      <c r="B35" s="2000" t="s">
        <v>504</v>
      </c>
      <c r="C35" s="2001" t="s">
        <v>195</v>
      </c>
      <c r="D35" s="2002" t="s">
        <v>745</v>
      </c>
      <c r="E35" s="1610">
        <v>30000</v>
      </c>
      <c r="F35" s="1333"/>
      <c r="G35" s="1334"/>
      <c r="H35" s="1433">
        <f t="shared" si="19"/>
        <v>30000</v>
      </c>
      <c r="I35" s="1610">
        <v>30000</v>
      </c>
      <c r="J35" s="1333"/>
      <c r="K35" s="1334"/>
      <c r="L35" s="2014">
        <f t="shared" si="20"/>
        <v>30000</v>
      </c>
      <c r="M35" s="2015">
        <v>20000</v>
      </c>
      <c r="N35" s="1994"/>
      <c r="O35" s="1995"/>
      <c r="P35" s="2064">
        <f t="shared" si="18"/>
        <v>20000</v>
      </c>
      <c r="Q35" s="2068">
        <f>P35/H35*100</f>
        <v>66.666666666666657</v>
      </c>
      <c r="R35" s="1142">
        <f t="shared" si="0"/>
        <v>0</v>
      </c>
      <c r="T35" s="209">
        <f t="shared" si="1"/>
        <v>0</v>
      </c>
      <c r="U35" s="209">
        <f t="shared" si="2"/>
        <v>0</v>
      </c>
    </row>
    <row r="36" spans="1:21" s="288" customFormat="1" ht="102.75" hidden="1" customHeight="1" thickBot="1">
      <c r="A36" s="2016"/>
      <c r="B36" s="2017"/>
      <c r="C36" s="2018"/>
      <c r="D36" s="2019" t="s">
        <v>513</v>
      </c>
      <c r="E36" s="2020"/>
      <c r="F36" s="2021"/>
      <c r="G36" s="2022"/>
      <c r="H36" s="2023"/>
      <c r="I36" s="1610"/>
      <c r="J36" s="1333"/>
      <c r="K36" s="1334"/>
      <c r="L36" s="2014"/>
      <c r="M36" s="2015"/>
      <c r="N36" s="1994"/>
      <c r="O36" s="1995"/>
      <c r="P36" s="2064">
        <f t="shared" si="18"/>
        <v>0</v>
      </c>
      <c r="Q36" s="2068" t="e">
        <f t="shared" ref="Q36" si="21">P36/H36*100*100</f>
        <v>#DIV/0!</v>
      </c>
      <c r="R36" s="1142">
        <f t="shared" si="0"/>
        <v>0</v>
      </c>
      <c r="T36" s="209">
        <f t="shared" si="1"/>
        <v>0</v>
      </c>
      <c r="U36" s="209">
        <f t="shared" si="2"/>
        <v>0</v>
      </c>
    </row>
    <row r="37" spans="1:21" s="288" customFormat="1" ht="30.75" customHeight="1">
      <c r="A37" s="2016"/>
      <c r="B37" s="2017"/>
      <c r="C37" s="2018"/>
      <c r="D37" s="2024" t="s">
        <v>1676</v>
      </c>
      <c r="E37" s="2020"/>
      <c r="F37" s="2021"/>
      <c r="G37" s="2022"/>
      <c r="H37" s="2023"/>
      <c r="I37" s="1610"/>
      <c r="J37" s="1333"/>
      <c r="K37" s="1334"/>
      <c r="L37" s="2014"/>
      <c r="M37" s="2015"/>
      <c r="N37" s="1994"/>
      <c r="O37" s="1995">
        <v>522860</v>
      </c>
      <c r="P37" s="2064">
        <f>M37+N37+O37</f>
        <v>522860</v>
      </c>
      <c r="Q37" s="2068">
        <f>P34/H38*100</f>
        <v>0</v>
      </c>
      <c r="R37" s="1142">
        <f t="shared" si="0"/>
        <v>0</v>
      </c>
      <c r="T37" s="209">
        <f t="shared" si="1"/>
        <v>0</v>
      </c>
      <c r="U37" s="209">
        <f>E38+F38+G38-H38</f>
        <v>0</v>
      </c>
    </row>
    <row r="38" spans="1:21" ht="28.5" customHeight="1">
      <c r="A38" s="2025"/>
      <c r="B38" s="2026"/>
      <c r="C38" s="2026"/>
      <c r="D38" s="2027" t="s">
        <v>803</v>
      </c>
      <c r="E38" s="2028">
        <f>SUM(E7,E15,E27:E32)</f>
        <v>963000</v>
      </c>
      <c r="F38" s="2029"/>
      <c r="G38" s="2030">
        <f>G33+G25+G24+G23+G14+G13</f>
        <v>208165</v>
      </c>
      <c r="H38" s="2031">
        <f>E38+F38+G38</f>
        <v>1171165</v>
      </c>
      <c r="I38" s="2032"/>
      <c r="J38" s="2026"/>
      <c r="K38" s="2033"/>
      <c r="L38" s="2034"/>
      <c r="M38" s="2035"/>
      <c r="N38" s="2029"/>
      <c r="O38" s="2030"/>
      <c r="P38" s="2065"/>
      <c r="Q38" s="2069"/>
      <c r="R38" s="1142">
        <f t="shared" si="0"/>
        <v>0</v>
      </c>
    </row>
    <row r="39" spans="1:21">
      <c r="A39" s="2025"/>
      <c r="B39" s="2037"/>
      <c r="C39" s="2038"/>
      <c r="D39" s="2027" t="s">
        <v>793</v>
      </c>
      <c r="E39" s="2039"/>
      <c r="F39" s="2029"/>
      <c r="G39" s="2030">
        <f>G34+G22+G21+G20</f>
        <v>178749</v>
      </c>
      <c r="H39" s="2031">
        <f>E39+F39+G39</f>
        <v>178749</v>
      </c>
      <c r="I39" s="2028"/>
      <c r="J39" s="2040"/>
      <c r="K39" s="2030"/>
      <c r="L39" s="2036"/>
      <c r="M39" s="2041"/>
      <c r="N39" s="2040"/>
      <c r="O39" s="2030"/>
      <c r="P39" s="2065"/>
      <c r="Q39" s="2069"/>
      <c r="R39" s="1142">
        <f t="shared" si="0"/>
        <v>0</v>
      </c>
    </row>
    <row r="40" spans="1:21" ht="27" thickBot="1">
      <c r="A40" s="2042"/>
      <c r="B40" s="2043"/>
      <c r="C40" s="2044"/>
      <c r="D40" s="2045"/>
      <c r="E40" s="2046">
        <f>SUM(E38:E39)</f>
        <v>963000</v>
      </c>
      <c r="F40" s="2047">
        <f t="shared" ref="F40:H40" si="22">SUM(F38:F39)</f>
        <v>0</v>
      </c>
      <c r="G40" s="2048">
        <f t="shared" si="22"/>
        <v>386914</v>
      </c>
      <c r="H40" s="2049">
        <f t="shared" si="22"/>
        <v>1349914</v>
      </c>
      <c r="I40" s="2046"/>
      <c r="J40" s="2047"/>
      <c r="K40" s="2048"/>
      <c r="L40" s="2050"/>
      <c r="M40" s="2051"/>
      <c r="N40" s="2052"/>
      <c r="O40" s="2053"/>
      <c r="P40" s="2066"/>
      <c r="Q40" s="2070"/>
      <c r="R40" s="1142">
        <f t="shared" si="0"/>
        <v>0</v>
      </c>
    </row>
    <row r="41" spans="1:21" ht="27.75" thickTop="1" thickBot="1">
      <c r="E41" s="688">
        <f>E6</f>
        <v>963000</v>
      </c>
      <c r="F41" s="688">
        <f>F6</f>
        <v>0</v>
      </c>
      <c r="G41" s="688">
        <f>G6</f>
        <v>386914</v>
      </c>
      <c r="H41" s="688">
        <f>H6</f>
        <v>1349914</v>
      </c>
      <c r="I41" s="2054"/>
      <c r="J41" s="2054"/>
      <c r="K41" s="2054"/>
      <c r="L41" s="2055"/>
      <c r="M41" s="2056"/>
      <c r="N41" s="2057"/>
      <c r="O41" s="2058"/>
      <c r="P41" s="688"/>
      <c r="Q41" s="2059"/>
    </row>
    <row r="42" spans="1:21" ht="27" thickTop="1">
      <c r="E42" s="688">
        <f>E41-E6</f>
        <v>0</v>
      </c>
      <c r="F42" s="688">
        <f>F41-F6</f>
        <v>0</v>
      </c>
      <c r="G42" s="688">
        <f>G41-G6</f>
        <v>0</v>
      </c>
      <c r="H42" s="688">
        <f>H41-H6</f>
        <v>0</v>
      </c>
      <c r="I42" s="688"/>
      <c r="J42" s="688"/>
      <c r="K42" s="688"/>
      <c r="L42" s="688"/>
    </row>
    <row r="43" spans="1:21">
      <c r="I43" s="688"/>
      <c r="J43" s="688"/>
      <c r="K43" s="688"/>
      <c r="L43" s="688"/>
    </row>
  </sheetData>
  <mergeCells count="8">
    <mergeCell ref="E2:H2"/>
    <mergeCell ref="Q2:Q3"/>
    <mergeCell ref="A2:A3"/>
    <mergeCell ref="B2:B3"/>
    <mergeCell ref="C2:C3"/>
    <mergeCell ref="D2:D3"/>
    <mergeCell ref="M2:P2"/>
    <mergeCell ref="I2:L2"/>
  </mergeCells>
  <phoneticPr fontId="3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4" orientation="landscape" r:id="rId1"/>
  <headerFooter>
    <oddHeader>&amp;RPrilog br. 6</oddHeader>
    <oddFooter>&amp;L&amp;"Times New Roman,Uobičajeno"&amp;16&amp;K00-024Budžet  Grada Mostara za 2022.godinu-Služba za privredu&amp;C&amp;16&amp;P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2"/>
  <dimension ref="A1:AG63"/>
  <sheetViews>
    <sheetView view="pageBreakPreview" zoomScale="68" zoomScaleSheetLayoutView="68" workbookViewId="0">
      <selection activeCell="M8" sqref="M8:M18"/>
    </sheetView>
  </sheetViews>
  <sheetFormatPr defaultRowHeight="18.75"/>
  <cols>
    <col min="1" max="1" width="9.42578125" bestFit="1" customWidth="1"/>
    <col min="2" max="2" width="9" bestFit="1" customWidth="1"/>
    <col min="3" max="3" width="10" bestFit="1" customWidth="1"/>
    <col min="4" max="4" width="48.42578125" customWidth="1"/>
    <col min="5" max="5" width="15.42578125" customWidth="1"/>
    <col min="6" max="6" width="15.7109375" customWidth="1"/>
    <col min="7" max="12" width="14.5703125" customWidth="1"/>
    <col min="13" max="13" width="14.5703125" style="571" customWidth="1"/>
    <col min="14" max="16" width="14.5703125" customWidth="1"/>
    <col min="17" max="17" width="12" customWidth="1"/>
    <col min="18" max="18" width="15.85546875" customWidth="1"/>
    <col min="19" max="19" width="14.5703125" bestFit="1" customWidth="1"/>
    <col min="20" max="20" width="14.140625" style="1126" customWidth="1"/>
    <col min="21" max="23" width="13.140625" customWidth="1"/>
    <col min="24" max="24" width="15.28515625" customWidth="1"/>
    <col min="27" max="27" width="11.28515625" bestFit="1" customWidth="1"/>
    <col min="29" max="29" width="11" bestFit="1" customWidth="1"/>
    <col min="30" max="30" width="13.28515625" customWidth="1"/>
    <col min="31" max="31" width="9.5703125" bestFit="1" customWidth="1"/>
    <col min="32" max="32" width="11.42578125" bestFit="1" customWidth="1"/>
    <col min="33" max="33" width="9.5703125" bestFit="1" customWidth="1"/>
  </cols>
  <sheetData>
    <row r="1" spans="1:30" ht="64.5" customHeight="1" thickBot="1">
      <c r="D1" s="570" t="s">
        <v>1349</v>
      </c>
    </row>
    <row r="2" spans="1:30" ht="48" customHeight="1" thickTop="1">
      <c r="A2" s="3430" t="s">
        <v>200</v>
      </c>
      <c r="B2" s="3432" t="s">
        <v>201</v>
      </c>
      <c r="C2" s="3432" t="s">
        <v>202</v>
      </c>
      <c r="D2" s="3434" t="s">
        <v>1</v>
      </c>
      <c r="E2" s="3450" t="s">
        <v>1279</v>
      </c>
      <c r="F2" s="3451"/>
      <c r="G2" s="3451"/>
      <c r="H2" s="3452"/>
      <c r="I2" s="3460" t="s">
        <v>1662</v>
      </c>
      <c r="J2" s="3461"/>
      <c r="K2" s="3461"/>
      <c r="L2" s="3462"/>
      <c r="M2" s="3450" t="s">
        <v>1654</v>
      </c>
      <c r="N2" s="3451"/>
      <c r="O2" s="3451"/>
      <c r="P2" s="3452"/>
      <c r="Q2" s="3453" t="s">
        <v>49</v>
      </c>
      <c r="R2" s="1098"/>
      <c r="S2" s="1098"/>
      <c r="T2" s="1191"/>
      <c r="U2" s="1098"/>
      <c r="V2" s="1098"/>
      <c r="W2" s="1098"/>
      <c r="X2" s="1098"/>
      <c r="Y2" s="1098"/>
      <c r="Z2" s="1098"/>
    </row>
    <row r="3" spans="1:30" ht="132.75" customHeight="1">
      <c r="A3" s="3457"/>
      <c r="B3" s="3458"/>
      <c r="C3" s="3458"/>
      <c r="D3" s="3459"/>
      <c r="E3" s="1417" t="s">
        <v>50</v>
      </c>
      <c r="F3" s="1418" t="s">
        <v>162</v>
      </c>
      <c r="G3" s="1419" t="s">
        <v>52</v>
      </c>
      <c r="H3" s="1394" t="s">
        <v>606</v>
      </c>
      <c r="I3" s="1417" t="s">
        <v>50</v>
      </c>
      <c r="J3" s="1418" t="s">
        <v>162</v>
      </c>
      <c r="K3" s="1419" t="s">
        <v>52</v>
      </c>
      <c r="L3" s="1394" t="s">
        <v>606</v>
      </c>
      <c r="M3" s="2088" t="s">
        <v>50</v>
      </c>
      <c r="N3" s="1418" t="s">
        <v>162</v>
      </c>
      <c r="O3" s="1419" t="s">
        <v>52</v>
      </c>
      <c r="P3" s="2419" t="s">
        <v>606</v>
      </c>
      <c r="Q3" s="3454"/>
      <c r="R3" s="1098"/>
      <c r="S3" s="1098"/>
      <c r="T3" s="1191"/>
      <c r="U3" s="1098"/>
      <c r="V3" s="1098"/>
      <c r="W3" s="1098"/>
      <c r="X3" s="1098"/>
      <c r="Y3" s="1098"/>
      <c r="Z3" s="1098"/>
    </row>
    <row r="4" spans="1:30" ht="37.5" customHeight="1">
      <c r="A4" s="375"/>
      <c r="B4" s="376"/>
      <c r="C4" s="376"/>
      <c r="D4" s="1401"/>
      <c r="E4" s="1420">
        <v>1</v>
      </c>
      <c r="F4" s="1421">
        <v>2</v>
      </c>
      <c r="G4" s="1422">
        <v>3</v>
      </c>
      <c r="H4" s="1395" t="s">
        <v>653</v>
      </c>
      <c r="I4" s="1420">
        <v>5</v>
      </c>
      <c r="J4" s="1421">
        <v>6</v>
      </c>
      <c r="K4" s="1422">
        <v>7</v>
      </c>
      <c r="L4" s="1395" t="s">
        <v>1664</v>
      </c>
      <c r="M4" s="2089">
        <v>9</v>
      </c>
      <c r="N4" s="1421">
        <v>10</v>
      </c>
      <c r="O4" s="1422">
        <v>11</v>
      </c>
      <c r="P4" s="2420" t="s">
        <v>1501</v>
      </c>
      <c r="Q4" s="2416">
        <v>13</v>
      </c>
      <c r="R4" s="1099"/>
      <c r="S4" s="1099"/>
      <c r="T4" s="1192"/>
      <c r="U4" s="1099"/>
      <c r="V4" s="1099"/>
      <c r="W4" s="1099"/>
      <c r="X4" s="1099"/>
      <c r="Y4" s="1099"/>
      <c r="Z4" s="1099"/>
    </row>
    <row r="5" spans="1:30" ht="45" customHeight="1">
      <c r="A5" s="375"/>
      <c r="B5" s="376"/>
      <c r="C5" s="376"/>
      <c r="D5" s="1402" t="s">
        <v>829</v>
      </c>
      <c r="E5" s="1420"/>
      <c r="F5" s="1421"/>
      <c r="G5" s="1422"/>
      <c r="H5" s="1395"/>
      <c r="I5" s="1420"/>
      <c r="J5" s="1421"/>
      <c r="K5" s="1422"/>
      <c r="L5" s="1395"/>
      <c r="M5" s="2089"/>
      <c r="N5" s="1421"/>
      <c r="O5" s="1422"/>
      <c r="P5" s="2420"/>
      <c r="Q5" s="2416"/>
      <c r="R5" s="1099"/>
      <c r="S5" s="1099"/>
      <c r="T5" s="1192"/>
      <c r="U5" s="1099"/>
      <c r="V5" s="1099"/>
      <c r="W5" s="1099">
        <f>SUM('[7]PRIH REBALANS'!$AI$986:$AJ$986)</f>
        <v>2013816</v>
      </c>
      <c r="X5" s="1099"/>
      <c r="Y5" s="1099"/>
      <c r="Z5" s="1099"/>
    </row>
    <row r="6" spans="1:30" ht="37.5">
      <c r="A6" s="391">
        <v>111</v>
      </c>
      <c r="B6" s="392" t="s">
        <v>504</v>
      </c>
      <c r="C6" s="393"/>
      <c r="D6" s="1403" t="s">
        <v>515</v>
      </c>
      <c r="E6" s="1365">
        <f>SUM(E7,E19,E28:E49)</f>
        <v>8068565</v>
      </c>
      <c r="F6" s="1366">
        <f>SUM(F7,F19,F28:F49)</f>
        <v>4099837</v>
      </c>
      <c r="G6" s="1367">
        <f>SUM(G7,G19,G28:G49,G50)</f>
        <v>768979.05</v>
      </c>
      <c r="H6" s="1414">
        <f>SUM(H7,H19,H28:H49,G50)</f>
        <v>12937381.050000001</v>
      </c>
      <c r="I6" s="1365">
        <f>SUM(I7+I19+I31+I32+I33+I35+I36+I37+I38+I39+I43+I44+I45+I51)</f>
        <v>8354800</v>
      </c>
      <c r="J6" s="1366">
        <f>SUM(J19+J43)</f>
        <v>2800000</v>
      </c>
      <c r="K6" s="1367"/>
      <c r="L6" s="1414">
        <f>SUM(I6:J6)</f>
        <v>11154800</v>
      </c>
      <c r="M6" s="2090">
        <f>SUM(M7,M19,M28:M51)</f>
        <v>7759800</v>
      </c>
      <c r="N6" s="1366">
        <f t="shared" ref="N6:O6" si="0">SUM(N7+N19+N31+N32+N33+N35+N36+N37+N38+N39+N43+N44+N51,N34+N30,N41,N45,N49)</f>
        <v>2725000</v>
      </c>
      <c r="O6" s="1367">
        <f t="shared" si="0"/>
        <v>0</v>
      </c>
      <c r="P6" s="1429">
        <f>SUM(P7,P19,P28:P49,O50,P51)</f>
        <v>10484800</v>
      </c>
      <c r="Q6" s="2086">
        <f>P6/H6*100</f>
        <v>81.042677489970032</v>
      </c>
      <c r="R6" s="435">
        <f>'[1]PRIH REBALANS'!$AK$973</f>
        <v>10484800</v>
      </c>
      <c r="S6" s="435">
        <f>M6+N6+O6-P6</f>
        <v>0</v>
      </c>
      <c r="T6" s="1193">
        <v>7759800</v>
      </c>
      <c r="U6" s="435">
        <v>10484800</v>
      </c>
      <c r="V6" s="435">
        <f>U6-P6</f>
        <v>0</v>
      </c>
      <c r="W6" s="435">
        <f>SUM(W7,W19,G28:G50)</f>
        <v>768979.05</v>
      </c>
      <c r="X6" s="435">
        <f>SUM(X7,X19,H28:H50)</f>
        <v>12937381.050000001</v>
      </c>
      <c r="Y6" s="435"/>
      <c r="Z6" s="435"/>
      <c r="AA6" s="209">
        <f>'[2]PRIH REBALANS'!$AK$986</f>
        <v>12937381</v>
      </c>
      <c r="AB6" s="466"/>
      <c r="AC6" s="209">
        <f>'[2]PRIH REBALANS'!$AK$986</f>
        <v>12937381</v>
      </c>
      <c r="AD6" s="209">
        <f>AC6-H6</f>
        <v>-5.000000074505806E-2</v>
      </c>
    </row>
    <row r="7" spans="1:30" ht="37.5" customHeight="1">
      <c r="A7" s="391">
        <v>111</v>
      </c>
      <c r="B7" s="392"/>
      <c r="C7" s="392">
        <v>613300</v>
      </c>
      <c r="D7" s="1404" t="s">
        <v>516</v>
      </c>
      <c r="E7" s="1365">
        <f>SUM(E8:E18)</f>
        <v>5600000</v>
      </c>
      <c r="F7" s="1366">
        <f>SUM(F8:F16)</f>
        <v>0</v>
      </c>
      <c r="G7" s="1367">
        <f>SUM(G8:G16)</f>
        <v>0</v>
      </c>
      <c r="H7" s="1414">
        <f>SUM(H8:H18)</f>
        <v>5600000</v>
      </c>
      <c r="I7" s="1365">
        <f>SUM(I8:I17)</f>
        <v>6220000</v>
      </c>
      <c r="J7" s="1366"/>
      <c r="K7" s="1367"/>
      <c r="L7" s="1414">
        <f>SUM(L8:L17)</f>
        <v>6120000</v>
      </c>
      <c r="M7" s="2412">
        <f>SUM(M8:M18)</f>
        <v>5790000</v>
      </c>
      <c r="N7" s="1366">
        <f>SUM(N8:N16)</f>
        <v>0</v>
      </c>
      <c r="O7" s="1367">
        <f>SUM(O8:O16)</f>
        <v>0</v>
      </c>
      <c r="P7" s="1429">
        <f>SUM(P8:P18)</f>
        <v>5790000</v>
      </c>
      <c r="Q7" s="2086">
        <f t="shared" ref="Q7:Q50" si="1">P7/H7*100</f>
        <v>103.39285714285715</v>
      </c>
      <c r="R7" s="435"/>
      <c r="S7" s="435">
        <f t="shared" ref="S7:S57" si="2">M7+N7+O7-P7</f>
        <v>0</v>
      </c>
      <c r="T7" s="1193">
        <f>T6-M6</f>
        <v>0</v>
      </c>
      <c r="U7" s="435">
        <f>SUM(E8:E18)</f>
        <v>5600000</v>
      </c>
      <c r="V7" s="435">
        <f t="shared" ref="V7:V57" si="3">U7-P7</f>
        <v>-190000</v>
      </c>
      <c r="W7" s="435">
        <f>SUM(G8:G18)</f>
        <v>0</v>
      </c>
      <c r="X7" s="435">
        <f>SUM(H8:H18)</f>
        <v>5600000</v>
      </c>
      <c r="Y7" s="435"/>
      <c r="Z7" s="435"/>
      <c r="AA7" s="455">
        <f>'[2]PRIH REBALANS'!$AK$987</f>
        <v>5600000</v>
      </c>
      <c r="AC7" s="209">
        <f t="shared" ref="AC7:AC29" si="4">E7++F7+G7-H7</f>
        <v>0</v>
      </c>
      <c r="AD7" s="209">
        <f>'[2]PRIH REBALANS'!$AK$987</f>
        <v>5600000</v>
      </c>
    </row>
    <row r="8" spans="1:30" ht="37.5" customHeight="1">
      <c r="A8" s="394" t="s">
        <v>319</v>
      </c>
      <c r="B8" s="395" t="s">
        <v>517</v>
      </c>
      <c r="C8" s="395">
        <v>613211</v>
      </c>
      <c r="D8" s="1405" t="s">
        <v>518</v>
      </c>
      <c r="E8" s="1368">
        <v>2250000</v>
      </c>
      <c r="F8" s="1369"/>
      <c r="G8" s="1370"/>
      <c r="H8" s="1415">
        <f>SUM(E8:G8)</f>
        <v>2250000</v>
      </c>
      <c r="I8" s="1368">
        <v>2250000</v>
      </c>
      <c r="J8" s="1369"/>
      <c r="K8" s="1370"/>
      <c r="L8" s="1415">
        <v>2250000</v>
      </c>
      <c r="M8" s="1534">
        <v>2250000</v>
      </c>
      <c r="N8" s="1369"/>
      <c r="O8" s="1370"/>
      <c r="P8" s="1428">
        <f>SUM(M8:O8)</f>
        <v>2250000</v>
      </c>
      <c r="Q8" s="2417">
        <f>P8/H8*100</f>
        <v>100</v>
      </c>
      <c r="R8" s="1100"/>
      <c r="S8" s="435">
        <f t="shared" si="2"/>
        <v>0</v>
      </c>
      <c r="T8" s="1193">
        <f t="shared" ref="T8:T59" si="5">M8+N8+O8+-P8</f>
        <v>0</v>
      </c>
      <c r="U8" s="1100"/>
      <c r="V8" s="435">
        <f t="shared" si="3"/>
        <v>-2250000</v>
      </c>
      <c r="W8" s="1100"/>
      <c r="X8" s="1100"/>
      <c r="Y8" s="1100"/>
      <c r="Z8" s="1100"/>
      <c r="AA8" s="209"/>
      <c r="AC8" s="209">
        <f t="shared" si="4"/>
        <v>0</v>
      </c>
    </row>
    <row r="9" spans="1:30" ht="34.9" customHeight="1">
      <c r="A9" s="394" t="s">
        <v>319</v>
      </c>
      <c r="B9" s="395" t="s">
        <v>517</v>
      </c>
      <c r="C9" s="395">
        <v>613212</v>
      </c>
      <c r="D9" s="1405" t="s">
        <v>746</v>
      </c>
      <c r="E9" s="1368">
        <v>260000</v>
      </c>
      <c r="F9" s="1369"/>
      <c r="G9" s="1370"/>
      <c r="H9" s="1415">
        <f t="shared" ref="H9:H27" si="6">SUM(E9:G9)</f>
        <v>260000</v>
      </c>
      <c r="I9" s="1368">
        <v>600000</v>
      </c>
      <c r="J9" s="1369"/>
      <c r="K9" s="1370"/>
      <c r="L9" s="1415">
        <v>600000</v>
      </c>
      <c r="M9" s="1534">
        <v>400000</v>
      </c>
      <c r="N9" s="1369"/>
      <c r="O9" s="1370"/>
      <c r="P9" s="1428">
        <f t="shared" ref="P9:P17" si="7">SUM(M9:O9)</f>
        <v>400000</v>
      </c>
      <c r="Q9" s="2417">
        <f t="shared" si="1"/>
        <v>153.84615384615387</v>
      </c>
      <c r="R9" s="1100"/>
      <c r="S9" s="435">
        <f t="shared" si="2"/>
        <v>0</v>
      </c>
      <c r="T9" s="1193">
        <f t="shared" si="5"/>
        <v>0</v>
      </c>
      <c r="U9" s="1100"/>
      <c r="V9" s="435">
        <f t="shared" si="3"/>
        <v>-400000</v>
      </c>
      <c r="W9" s="1100">
        <f>SUM('[7]PRIH REBALANS'!$AG$986:$AJ$986)</f>
        <v>12937381</v>
      </c>
      <c r="X9" s="1100"/>
      <c r="Y9" s="1100"/>
      <c r="Z9" s="1100"/>
      <c r="AA9" s="209"/>
      <c r="AC9" s="209">
        <f t="shared" si="4"/>
        <v>0</v>
      </c>
    </row>
    <row r="10" spans="1:30" ht="37.5" customHeight="1">
      <c r="A10" s="394" t="s">
        <v>319</v>
      </c>
      <c r="B10" s="395" t="s">
        <v>519</v>
      </c>
      <c r="C10" s="395">
        <v>613324</v>
      </c>
      <c r="D10" s="1405" t="s">
        <v>520</v>
      </c>
      <c r="E10" s="1368">
        <v>900000</v>
      </c>
      <c r="F10" s="1369"/>
      <c r="G10" s="1370"/>
      <c r="H10" s="1415">
        <f t="shared" si="6"/>
        <v>900000</v>
      </c>
      <c r="I10" s="1368">
        <v>1300000</v>
      </c>
      <c r="J10" s="1369"/>
      <c r="K10" s="1370"/>
      <c r="L10" s="1415">
        <v>1200000</v>
      </c>
      <c r="M10" s="1534">
        <v>900000</v>
      </c>
      <c r="N10" s="1369"/>
      <c r="O10" s="1370"/>
      <c r="P10" s="1428">
        <f t="shared" si="7"/>
        <v>900000</v>
      </c>
      <c r="Q10" s="2417">
        <f t="shared" si="1"/>
        <v>100</v>
      </c>
      <c r="R10" s="1100"/>
      <c r="S10" s="435">
        <f t="shared" si="2"/>
        <v>0</v>
      </c>
      <c r="T10" s="1193">
        <f t="shared" si="5"/>
        <v>0</v>
      </c>
      <c r="U10" s="1100"/>
      <c r="V10" s="435">
        <f t="shared" si="3"/>
        <v>-900000</v>
      </c>
      <c r="W10" s="1100"/>
      <c r="X10" s="1100"/>
      <c r="Y10" s="1100"/>
      <c r="Z10" s="1100"/>
      <c r="AA10" s="209"/>
      <c r="AC10" s="209">
        <f t="shared" si="4"/>
        <v>0</v>
      </c>
    </row>
    <row r="11" spans="1:30" ht="37.5" customHeight="1">
      <c r="A11" s="394" t="s">
        <v>319</v>
      </c>
      <c r="B11" s="395" t="s">
        <v>519</v>
      </c>
      <c r="C11" s="395">
        <v>613324</v>
      </c>
      <c r="D11" s="1405" t="s">
        <v>521</v>
      </c>
      <c r="E11" s="1368">
        <v>10000</v>
      </c>
      <c r="F11" s="1369"/>
      <c r="G11" s="1370"/>
      <c r="H11" s="1415">
        <f t="shared" si="6"/>
        <v>10000</v>
      </c>
      <c r="I11" s="1368">
        <v>10000</v>
      </c>
      <c r="J11" s="1369"/>
      <c r="K11" s="1370"/>
      <c r="L11" s="1415">
        <v>10000</v>
      </c>
      <c r="M11" s="1534">
        <v>50000</v>
      </c>
      <c r="N11" s="1369"/>
      <c r="O11" s="1370"/>
      <c r="P11" s="1428">
        <f t="shared" si="7"/>
        <v>50000</v>
      </c>
      <c r="Q11" s="2417">
        <f t="shared" si="1"/>
        <v>500</v>
      </c>
      <c r="R11" s="1100"/>
      <c r="S11" s="435">
        <f t="shared" si="2"/>
        <v>0</v>
      </c>
      <c r="T11" s="1193">
        <f t="shared" si="5"/>
        <v>0</v>
      </c>
      <c r="U11" s="1100"/>
      <c r="V11" s="435">
        <f t="shared" si="3"/>
        <v>-50000</v>
      </c>
      <c r="W11" s="1100"/>
      <c r="X11" s="1100"/>
      <c r="Y11" s="1100"/>
      <c r="Z11" s="1100"/>
      <c r="AA11" s="209"/>
      <c r="AC11" s="209">
        <f t="shared" si="4"/>
        <v>0</v>
      </c>
    </row>
    <row r="12" spans="1:30" ht="37.5" customHeight="1">
      <c r="A12" s="394" t="s">
        <v>319</v>
      </c>
      <c r="B12" s="395" t="s">
        <v>519</v>
      </c>
      <c r="C12" s="395" t="s">
        <v>522</v>
      </c>
      <c r="D12" s="1405" t="s">
        <v>523</v>
      </c>
      <c r="E12" s="1368">
        <v>850000</v>
      </c>
      <c r="F12" s="1369"/>
      <c r="G12" s="1370"/>
      <c r="H12" s="1415">
        <f t="shared" si="6"/>
        <v>850000</v>
      </c>
      <c r="I12" s="1368">
        <v>900000</v>
      </c>
      <c r="J12" s="1369"/>
      <c r="K12" s="1370"/>
      <c r="L12" s="1415">
        <v>900000</v>
      </c>
      <c r="M12" s="1534">
        <v>900000</v>
      </c>
      <c r="N12" s="1369"/>
      <c r="O12" s="1370"/>
      <c r="P12" s="1428">
        <f t="shared" si="7"/>
        <v>900000</v>
      </c>
      <c r="Q12" s="2417">
        <f t="shared" si="1"/>
        <v>105.88235294117648</v>
      </c>
      <c r="R12" s="1100"/>
      <c r="S12" s="435">
        <f t="shared" si="2"/>
        <v>0</v>
      </c>
      <c r="T12" s="1193">
        <f t="shared" si="5"/>
        <v>0</v>
      </c>
      <c r="U12" s="1100"/>
      <c r="V12" s="435">
        <f t="shared" si="3"/>
        <v>-900000</v>
      </c>
      <c r="W12" s="1100"/>
      <c r="X12" s="1100"/>
      <c r="Y12" s="1100"/>
      <c r="Z12" s="1100"/>
      <c r="AA12" s="209"/>
      <c r="AC12" s="209">
        <f t="shared" si="4"/>
        <v>0</v>
      </c>
    </row>
    <row r="13" spans="1:30" ht="37.5" customHeight="1">
      <c r="A13" s="394" t="s">
        <v>319</v>
      </c>
      <c r="B13" s="395" t="s">
        <v>524</v>
      </c>
      <c r="C13" s="395" t="s">
        <v>525</v>
      </c>
      <c r="D13" s="1406" t="s">
        <v>526</v>
      </c>
      <c r="E13" s="1368">
        <v>100000</v>
      </c>
      <c r="F13" s="1369"/>
      <c r="G13" s="1370"/>
      <c r="H13" s="1415">
        <f t="shared" si="6"/>
        <v>100000</v>
      </c>
      <c r="I13" s="1368">
        <v>110000</v>
      </c>
      <c r="J13" s="1369"/>
      <c r="K13" s="1370"/>
      <c r="L13" s="1415">
        <v>110000</v>
      </c>
      <c r="M13" s="1534">
        <v>110000</v>
      </c>
      <c r="N13" s="1369"/>
      <c r="O13" s="1370"/>
      <c r="P13" s="1428">
        <f t="shared" si="7"/>
        <v>110000</v>
      </c>
      <c r="Q13" s="2417">
        <f t="shared" si="1"/>
        <v>110.00000000000001</v>
      </c>
      <c r="R13" s="1100"/>
      <c r="S13" s="435">
        <f t="shared" si="2"/>
        <v>0</v>
      </c>
      <c r="T13" s="1193">
        <f t="shared" si="5"/>
        <v>0</v>
      </c>
      <c r="U13" s="1100"/>
      <c r="V13" s="435">
        <f t="shared" si="3"/>
        <v>-110000</v>
      </c>
      <c r="W13" s="1100"/>
      <c r="X13" s="1100"/>
      <c r="Y13" s="1100"/>
      <c r="Z13" s="1100"/>
      <c r="AA13" s="209"/>
      <c r="AC13" s="209">
        <f t="shared" si="4"/>
        <v>0</v>
      </c>
    </row>
    <row r="14" spans="1:30" ht="37.5" customHeight="1">
      <c r="A14" s="394" t="s">
        <v>319</v>
      </c>
      <c r="B14" s="395" t="s">
        <v>527</v>
      </c>
      <c r="C14" s="395" t="s">
        <v>525</v>
      </c>
      <c r="D14" s="1406" t="s">
        <v>528</v>
      </c>
      <c r="E14" s="1368">
        <v>850000</v>
      </c>
      <c r="F14" s="1369"/>
      <c r="G14" s="1370"/>
      <c r="H14" s="1415">
        <f t="shared" si="6"/>
        <v>850000</v>
      </c>
      <c r="I14" s="1368">
        <v>900000</v>
      </c>
      <c r="J14" s="1369"/>
      <c r="K14" s="1370"/>
      <c r="L14" s="1415">
        <v>900000</v>
      </c>
      <c r="M14" s="1534">
        <v>900000</v>
      </c>
      <c r="N14" s="1369"/>
      <c r="O14" s="1370"/>
      <c r="P14" s="1428">
        <f t="shared" si="7"/>
        <v>900000</v>
      </c>
      <c r="Q14" s="2417">
        <f t="shared" si="1"/>
        <v>105.88235294117648</v>
      </c>
      <c r="R14" s="1100"/>
      <c r="S14" s="435">
        <f t="shared" si="2"/>
        <v>0</v>
      </c>
      <c r="T14" s="1193">
        <f t="shared" si="5"/>
        <v>0</v>
      </c>
      <c r="U14" s="1100"/>
      <c r="V14" s="435">
        <f t="shared" si="3"/>
        <v>-900000</v>
      </c>
      <c r="W14" s="1100"/>
      <c r="X14" s="1100"/>
      <c r="Y14" s="1100"/>
      <c r="Z14" s="1100"/>
      <c r="AA14" s="209"/>
      <c r="AC14" s="209">
        <f t="shared" si="4"/>
        <v>0</v>
      </c>
    </row>
    <row r="15" spans="1:30" ht="37.5" customHeight="1">
      <c r="A15" s="394" t="s">
        <v>319</v>
      </c>
      <c r="B15" s="395" t="s">
        <v>527</v>
      </c>
      <c r="C15" s="395" t="s">
        <v>525</v>
      </c>
      <c r="D15" s="1407" t="s">
        <v>747</v>
      </c>
      <c r="E15" s="1368">
        <v>20000</v>
      </c>
      <c r="F15" s="1369"/>
      <c r="G15" s="1370"/>
      <c r="H15" s="1415">
        <f t="shared" si="6"/>
        <v>20000</v>
      </c>
      <c r="I15" s="1368">
        <v>30000</v>
      </c>
      <c r="J15" s="1369"/>
      <c r="K15" s="1370"/>
      <c r="L15" s="1415">
        <v>30000</v>
      </c>
      <c r="M15" s="1534">
        <v>30000</v>
      </c>
      <c r="N15" s="1369"/>
      <c r="O15" s="1370"/>
      <c r="P15" s="1428">
        <f t="shared" si="7"/>
        <v>30000</v>
      </c>
      <c r="Q15" s="2417">
        <f t="shared" si="1"/>
        <v>150</v>
      </c>
      <c r="R15" s="1100"/>
      <c r="S15" s="435">
        <f t="shared" si="2"/>
        <v>0</v>
      </c>
      <c r="T15" s="1193">
        <f t="shared" si="5"/>
        <v>0</v>
      </c>
      <c r="U15" s="1100"/>
      <c r="V15" s="435">
        <f t="shared" si="3"/>
        <v>-30000</v>
      </c>
      <c r="W15" s="1100"/>
      <c r="X15" s="1100"/>
      <c r="Y15" s="1100"/>
      <c r="Z15" s="1100"/>
      <c r="AA15" s="209"/>
      <c r="AC15" s="209">
        <f t="shared" si="4"/>
        <v>0</v>
      </c>
    </row>
    <row r="16" spans="1:30" ht="37.5" customHeight="1">
      <c r="A16" s="394" t="s">
        <v>319</v>
      </c>
      <c r="B16" s="395" t="s">
        <v>519</v>
      </c>
      <c r="C16" s="395" t="s">
        <v>525</v>
      </c>
      <c r="D16" s="1406" t="s">
        <v>529</v>
      </c>
      <c r="E16" s="1368">
        <v>90000</v>
      </c>
      <c r="F16" s="1369"/>
      <c r="G16" s="1370"/>
      <c r="H16" s="1415">
        <f t="shared" si="6"/>
        <v>90000</v>
      </c>
      <c r="I16" s="1368">
        <v>100000</v>
      </c>
      <c r="J16" s="1369"/>
      <c r="K16" s="1370"/>
      <c r="L16" s="1415">
        <v>100000</v>
      </c>
      <c r="M16" s="1534">
        <v>100000</v>
      </c>
      <c r="N16" s="1369"/>
      <c r="O16" s="1370"/>
      <c r="P16" s="1428">
        <f t="shared" si="7"/>
        <v>100000</v>
      </c>
      <c r="Q16" s="2417">
        <f t="shared" si="1"/>
        <v>111.11111111111111</v>
      </c>
      <c r="R16" s="1100"/>
      <c r="S16" s="435">
        <f t="shared" si="2"/>
        <v>0</v>
      </c>
      <c r="T16" s="1193">
        <f t="shared" si="5"/>
        <v>0</v>
      </c>
      <c r="U16" s="1100"/>
      <c r="V16" s="435">
        <f t="shared" si="3"/>
        <v>-100000</v>
      </c>
      <c r="W16" s="1100"/>
      <c r="X16" s="1100"/>
      <c r="Y16" s="1100"/>
      <c r="Z16" s="1100"/>
      <c r="AA16" s="209"/>
      <c r="AC16" s="209">
        <f t="shared" si="4"/>
        <v>0</v>
      </c>
    </row>
    <row r="17" spans="1:33" ht="37.5" customHeight="1">
      <c r="A17" s="394" t="s">
        <v>319</v>
      </c>
      <c r="B17" s="395" t="s">
        <v>519</v>
      </c>
      <c r="C17" s="395" t="s">
        <v>525</v>
      </c>
      <c r="D17" s="1406" t="s">
        <v>530</v>
      </c>
      <c r="E17" s="1368">
        <v>10000</v>
      </c>
      <c r="F17" s="1369"/>
      <c r="G17" s="1370"/>
      <c r="H17" s="1415">
        <f t="shared" si="6"/>
        <v>10000</v>
      </c>
      <c r="I17" s="1368">
        <v>20000</v>
      </c>
      <c r="J17" s="1369"/>
      <c r="K17" s="1370"/>
      <c r="L17" s="1415">
        <v>20000</v>
      </c>
      <c r="M17" s="1534">
        <v>20000</v>
      </c>
      <c r="N17" s="1369"/>
      <c r="O17" s="1370"/>
      <c r="P17" s="1428">
        <f t="shared" si="7"/>
        <v>20000</v>
      </c>
      <c r="Q17" s="2417">
        <f t="shared" si="1"/>
        <v>200</v>
      </c>
      <c r="R17" s="1100"/>
      <c r="S17" s="435">
        <f t="shared" si="2"/>
        <v>0</v>
      </c>
      <c r="T17" s="1193">
        <f t="shared" si="5"/>
        <v>0</v>
      </c>
      <c r="U17" s="1100"/>
      <c r="V17" s="435">
        <f t="shared" si="3"/>
        <v>-20000</v>
      </c>
      <c r="W17" s="1100"/>
      <c r="X17" s="1100"/>
      <c r="Y17" s="1100"/>
      <c r="Z17" s="1100"/>
      <c r="AA17" s="209"/>
      <c r="AC17" s="209">
        <f t="shared" si="4"/>
        <v>0</v>
      </c>
    </row>
    <row r="18" spans="1:33" ht="37.5" customHeight="1">
      <c r="A18" s="394" t="s">
        <v>319</v>
      </c>
      <c r="B18" s="395" t="s">
        <v>517</v>
      </c>
      <c r="C18" s="395" t="s">
        <v>525</v>
      </c>
      <c r="D18" s="1406" t="s">
        <v>531</v>
      </c>
      <c r="E18" s="1368">
        <v>260000</v>
      </c>
      <c r="F18" s="1369"/>
      <c r="G18" s="1370"/>
      <c r="H18" s="1415">
        <f t="shared" si="6"/>
        <v>260000</v>
      </c>
      <c r="I18" s="1368"/>
      <c r="J18" s="1369"/>
      <c r="K18" s="1370"/>
      <c r="L18" s="1415"/>
      <c r="M18" s="1534">
        <v>130000</v>
      </c>
      <c r="N18" s="1369"/>
      <c r="O18" s="1370"/>
      <c r="P18" s="1428">
        <f>SUM(M18:O18)</f>
        <v>130000</v>
      </c>
      <c r="Q18" s="2417">
        <f t="shared" si="1"/>
        <v>50</v>
      </c>
      <c r="R18" s="1100"/>
      <c r="S18" s="435">
        <f t="shared" si="2"/>
        <v>0</v>
      </c>
      <c r="T18" s="1193">
        <f t="shared" si="5"/>
        <v>0</v>
      </c>
      <c r="U18" s="1100"/>
      <c r="V18" s="435">
        <f t="shared" si="3"/>
        <v>-130000</v>
      </c>
      <c r="W18" s="1100"/>
      <c r="X18" s="1100"/>
      <c r="Y18" s="1100"/>
      <c r="Z18" s="1100"/>
      <c r="AA18" s="209"/>
      <c r="AC18" s="209">
        <f t="shared" si="4"/>
        <v>0</v>
      </c>
    </row>
    <row r="19" spans="1:33" ht="37.5" customHeight="1">
      <c r="A19" s="394" t="s">
        <v>319</v>
      </c>
      <c r="B19" s="395"/>
      <c r="C19" s="392" t="s">
        <v>222</v>
      </c>
      <c r="D19" s="1408" t="s">
        <v>532</v>
      </c>
      <c r="E19" s="1365">
        <f t="shared" ref="E19:G19" si="8">SUM(E20:E27)</f>
        <v>450000</v>
      </c>
      <c r="F19" s="1366">
        <f t="shared" si="8"/>
        <v>3496587</v>
      </c>
      <c r="G19" s="1367">
        <f t="shared" si="8"/>
        <v>0</v>
      </c>
      <c r="H19" s="1414">
        <f>SUM(H20:H27)</f>
        <v>3946587</v>
      </c>
      <c r="I19" s="1365">
        <f>SUM(I20:I27)</f>
        <v>550000</v>
      </c>
      <c r="J19" s="1366">
        <f>SUM(J21:J27)</f>
        <v>2690000</v>
      </c>
      <c r="K19" s="1367"/>
      <c r="L19" s="1414">
        <f>SUM(L20:L27)</f>
        <v>3190000</v>
      </c>
      <c r="M19" s="2412">
        <f>SUM(M20:M27)</f>
        <v>450000</v>
      </c>
      <c r="N19" s="1366">
        <f>SUM(N20:N27)</f>
        <v>2625000</v>
      </c>
      <c r="O19" s="1367">
        <f t="shared" ref="O19" si="9">SUM(O20:O27)</f>
        <v>0</v>
      </c>
      <c r="P19" s="1429">
        <f>SUM(P20:P27)</f>
        <v>3075000</v>
      </c>
      <c r="Q19" s="2086">
        <f t="shared" si="1"/>
        <v>77.915424137362237</v>
      </c>
      <c r="R19" s="435"/>
      <c r="S19" s="435">
        <f t="shared" si="2"/>
        <v>0</v>
      </c>
      <c r="T19" s="1193">
        <f t="shared" si="5"/>
        <v>0</v>
      </c>
      <c r="U19" s="435">
        <f>SUM(E20:E27)</f>
        <v>450000</v>
      </c>
      <c r="V19" s="435">
        <f t="shared" si="3"/>
        <v>-2625000</v>
      </c>
      <c r="W19" s="435">
        <f>SUM(G20:G27)</f>
        <v>0</v>
      </c>
      <c r="X19" s="435">
        <f>SUM(H20:H27)</f>
        <v>3946587</v>
      </c>
      <c r="Y19" s="435"/>
      <c r="Z19" s="435"/>
      <c r="AA19" s="209">
        <f>'[2]PRIH REBALANS'!$AK$1000</f>
        <v>3946587</v>
      </c>
      <c r="AC19" s="209">
        <f t="shared" si="4"/>
        <v>0</v>
      </c>
      <c r="AD19" s="209">
        <f>'[2]PRIH REBALANS'!$AK$1000</f>
        <v>3946587</v>
      </c>
      <c r="AE19" s="209">
        <f>AD19-H19</f>
        <v>0</v>
      </c>
    </row>
    <row r="20" spans="1:33" ht="37.5" customHeight="1">
      <c r="A20" s="394" t="s">
        <v>319</v>
      </c>
      <c r="B20" s="395"/>
      <c r="C20" s="395">
        <v>613726</v>
      </c>
      <c r="D20" s="1405" t="s">
        <v>748</v>
      </c>
      <c r="E20" s="1368">
        <v>400000</v>
      </c>
      <c r="F20" s="1369"/>
      <c r="G20" s="1370"/>
      <c r="H20" s="1415">
        <f t="shared" si="6"/>
        <v>400000</v>
      </c>
      <c r="I20" s="1368">
        <v>500000</v>
      </c>
      <c r="J20" s="1369"/>
      <c r="K20" s="1370"/>
      <c r="L20" s="1415">
        <v>450000</v>
      </c>
      <c r="M20" s="2091">
        <v>450000</v>
      </c>
      <c r="N20" s="1369"/>
      <c r="O20" s="1370"/>
      <c r="P20" s="1428">
        <f>SUM(M20:O20)</f>
        <v>450000</v>
      </c>
      <c r="Q20" s="2086">
        <f t="shared" si="1"/>
        <v>112.5</v>
      </c>
      <c r="R20" s="435"/>
      <c r="S20" s="435">
        <f t="shared" si="2"/>
        <v>0</v>
      </c>
      <c r="T20" s="1193">
        <f t="shared" si="5"/>
        <v>0</v>
      </c>
      <c r="U20" s="1100"/>
      <c r="V20" s="435">
        <f t="shared" si="3"/>
        <v>-450000</v>
      </c>
      <c r="W20" s="1100"/>
      <c r="X20" s="1100"/>
      <c r="Y20" s="1100"/>
      <c r="Z20" s="1100"/>
      <c r="AA20" s="209"/>
      <c r="AC20" s="209">
        <f t="shared" si="4"/>
        <v>0</v>
      </c>
      <c r="AE20" s="434">
        <v>400000</v>
      </c>
      <c r="AF20" s="429"/>
      <c r="AG20" s="429"/>
    </row>
    <row r="21" spans="1:33" ht="37.5" customHeight="1">
      <c r="A21" s="394" t="s">
        <v>491</v>
      </c>
      <c r="B21" s="392"/>
      <c r="C21" s="396">
        <v>613724</v>
      </c>
      <c r="D21" s="1406" t="s">
        <v>749</v>
      </c>
      <c r="E21" s="1368"/>
      <c r="F21" s="1369">
        <v>600000</v>
      </c>
      <c r="G21" s="1370"/>
      <c r="H21" s="1415">
        <f t="shared" si="6"/>
        <v>600000</v>
      </c>
      <c r="I21" s="1368"/>
      <c r="J21" s="1369">
        <v>600000</v>
      </c>
      <c r="K21" s="1370"/>
      <c r="L21" s="1415">
        <v>600000</v>
      </c>
      <c r="M21" s="2091"/>
      <c r="N21" s="1369">
        <v>500000</v>
      </c>
      <c r="O21" s="1370"/>
      <c r="P21" s="1428">
        <f t="shared" ref="P21:P27" si="10">SUM(M21:O21)</f>
        <v>500000</v>
      </c>
      <c r="Q21" s="2086">
        <f t="shared" si="1"/>
        <v>83.333333333333343</v>
      </c>
      <c r="R21" s="435"/>
      <c r="S21" s="435">
        <f t="shared" si="2"/>
        <v>0</v>
      </c>
      <c r="T21" s="1193">
        <f t="shared" si="5"/>
        <v>0</v>
      </c>
      <c r="U21" s="1100"/>
      <c r="V21" s="435">
        <f t="shared" si="3"/>
        <v>-500000</v>
      </c>
      <c r="W21" s="1100"/>
      <c r="X21" s="1100"/>
      <c r="Y21" s="1100"/>
      <c r="Z21" s="1100"/>
      <c r="AA21" s="209"/>
      <c r="AC21" s="209">
        <f t="shared" si="4"/>
        <v>0</v>
      </c>
      <c r="AE21" s="434"/>
      <c r="AF21" s="492">
        <v>675000</v>
      </c>
      <c r="AG21" s="429"/>
    </row>
    <row r="22" spans="1:33" ht="37.5" customHeight="1">
      <c r="A22" s="394" t="s">
        <v>491</v>
      </c>
      <c r="B22" s="392"/>
      <c r="C22" s="396">
        <v>613724</v>
      </c>
      <c r="D22" s="1406" t="s">
        <v>533</v>
      </c>
      <c r="E22" s="1368"/>
      <c r="F22" s="1369">
        <v>2075000</v>
      </c>
      <c r="G22" s="1370"/>
      <c r="H22" s="1415">
        <f t="shared" si="6"/>
        <v>2075000</v>
      </c>
      <c r="I22" s="1368"/>
      <c r="J22" s="1369">
        <v>2000000</v>
      </c>
      <c r="K22" s="1370"/>
      <c r="L22" s="1415">
        <v>2000000</v>
      </c>
      <c r="M22" s="2091"/>
      <c r="N22" s="1369">
        <v>1835000</v>
      </c>
      <c r="O22" s="1370"/>
      <c r="P22" s="1428">
        <f t="shared" si="10"/>
        <v>1835000</v>
      </c>
      <c r="Q22" s="2086">
        <f t="shared" si="1"/>
        <v>88.433734939759034</v>
      </c>
      <c r="R22" s="435"/>
      <c r="S22" s="435">
        <f t="shared" si="2"/>
        <v>0</v>
      </c>
      <c r="T22" s="1193">
        <f t="shared" si="5"/>
        <v>0</v>
      </c>
      <c r="U22" s="1100"/>
      <c r="V22" s="435">
        <f t="shared" si="3"/>
        <v>-1835000</v>
      </c>
      <c r="W22" s="1100"/>
      <c r="X22" s="1100"/>
      <c r="Y22" s="1100"/>
      <c r="Z22" s="1100"/>
      <c r="AA22" s="209">
        <f>F21+F22+F25</f>
        <v>2700000</v>
      </c>
      <c r="AC22" s="209">
        <f t="shared" si="4"/>
        <v>0</v>
      </c>
      <c r="AE22" s="434"/>
      <c r="AF22" s="492">
        <v>2000000</v>
      </c>
      <c r="AG22" s="429"/>
    </row>
    <row r="23" spans="1:33" ht="37.5" customHeight="1">
      <c r="A23" s="2084"/>
      <c r="B23" s="1397"/>
      <c r="C23" s="2085"/>
      <c r="D23" s="1406" t="s">
        <v>1711</v>
      </c>
      <c r="E23" s="1709"/>
      <c r="F23" s="1369"/>
      <c r="G23" s="1370"/>
      <c r="H23" s="1415"/>
      <c r="I23" s="1709"/>
      <c r="J23" s="1369"/>
      <c r="K23" s="1370"/>
      <c r="L23" s="1415"/>
      <c r="M23" s="2091"/>
      <c r="N23" s="1369">
        <v>200000</v>
      </c>
      <c r="O23" s="1370"/>
      <c r="P23" s="1428">
        <f t="shared" si="10"/>
        <v>200000</v>
      </c>
      <c r="Q23" s="2086"/>
      <c r="R23" s="435"/>
      <c r="S23" s="435">
        <f t="shared" si="2"/>
        <v>0</v>
      </c>
      <c r="T23" s="1193"/>
      <c r="U23" s="1100"/>
      <c r="V23" s="435">
        <f t="shared" si="3"/>
        <v>-200000</v>
      </c>
      <c r="W23" s="1100"/>
      <c r="X23" s="1100"/>
      <c r="Y23" s="1100"/>
      <c r="Z23" s="1100"/>
      <c r="AA23" s="209"/>
      <c r="AC23" s="209"/>
      <c r="AE23" s="1534"/>
      <c r="AF23" s="2087"/>
      <c r="AG23" s="1266"/>
    </row>
    <row r="24" spans="1:33" ht="37.5" customHeight="1">
      <c r="A24" s="394" t="s">
        <v>491</v>
      </c>
      <c r="B24" s="392"/>
      <c r="C24" s="396" t="s">
        <v>222</v>
      </c>
      <c r="D24" s="1406" t="s">
        <v>1059</v>
      </c>
      <c r="E24" s="1368"/>
      <c r="F24" s="1369">
        <v>756587</v>
      </c>
      <c r="G24" s="1370"/>
      <c r="H24" s="1415">
        <f t="shared" si="6"/>
        <v>756587</v>
      </c>
      <c r="I24" s="1368"/>
      <c r="J24" s="1369"/>
      <c r="K24" s="1370"/>
      <c r="L24" s="1415"/>
      <c r="M24" s="2091"/>
      <c r="N24" s="1369"/>
      <c r="O24" s="1370"/>
      <c r="P24" s="1428">
        <f t="shared" si="10"/>
        <v>0</v>
      </c>
      <c r="Q24" s="2086">
        <f t="shared" si="1"/>
        <v>0</v>
      </c>
      <c r="R24" s="435"/>
      <c r="S24" s="435">
        <f t="shared" si="2"/>
        <v>0</v>
      </c>
      <c r="T24" s="1193">
        <f t="shared" si="5"/>
        <v>0</v>
      </c>
      <c r="U24" s="1100"/>
      <c r="V24" s="435">
        <f t="shared" si="3"/>
        <v>0</v>
      </c>
      <c r="W24" s="1100"/>
      <c r="X24" s="1100"/>
      <c r="Y24" s="1100"/>
      <c r="Z24" s="1100"/>
      <c r="AA24" s="209"/>
      <c r="AC24" s="209">
        <f t="shared" si="4"/>
        <v>0</v>
      </c>
      <c r="AE24" s="434"/>
      <c r="AF24" s="493"/>
      <c r="AG24" s="493">
        <v>756587</v>
      </c>
    </row>
    <row r="25" spans="1:33" ht="37.5" customHeight="1">
      <c r="A25" s="394" t="s">
        <v>491</v>
      </c>
      <c r="B25" s="392"/>
      <c r="C25" s="396">
        <v>613724</v>
      </c>
      <c r="D25" s="1406" t="s">
        <v>750</v>
      </c>
      <c r="E25" s="1368"/>
      <c r="F25" s="1369">
        <v>25000</v>
      </c>
      <c r="G25" s="1370"/>
      <c r="H25" s="1415">
        <f t="shared" si="6"/>
        <v>25000</v>
      </c>
      <c r="I25" s="1368"/>
      <c r="J25" s="1369">
        <v>25000</v>
      </c>
      <c r="K25" s="1370"/>
      <c r="L25" s="1415">
        <v>25000</v>
      </c>
      <c r="M25" s="2091"/>
      <c r="N25" s="1369">
        <v>25000</v>
      </c>
      <c r="O25" s="1370"/>
      <c r="P25" s="1428">
        <f t="shared" si="10"/>
        <v>25000</v>
      </c>
      <c r="Q25" s="2086">
        <f t="shared" si="1"/>
        <v>100</v>
      </c>
      <c r="R25" s="435"/>
      <c r="S25" s="435">
        <f t="shared" si="2"/>
        <v>0</v>
      </c>
      <c r="T25" s="1193">
        <f t="shared" si="5"/>
        <v>0</v>
      </c>
      <c r="U25" s="1100"/>
      <c r="V25" s="435">
        <f t="shared" si="3"/>
        <v>-25000</v>
      </c>
      <c r="W25" s="1100"/>
      <c r="X25" s="1100"/>
      <c r="Y25" s="1100"/>
      <c r="Z25" s="1100"/>
      <c r="AA25" s="209"/>
      <c r="AC25" s="209">
        <f t="shared" si="4"/>
        <v>0</v>
      </c>
      <c r="AE25" s="434"/>
      <c r="AF25" s="492">
        <v>25000</v>
      </c>
      <c r="AG25" s="429"/>
    </row>
    <row r="26" spans="1:33" ht="37.5" customHeight="1">
      <c r="A26" s="394" t="s">
        <v>319</v>
      </c>
      <c r="B26" s="392"/>
      <c r="C26" s="395" t="s">
        <v>534</v>
      </c>
      <c r="D26" s="1406" t="s">
        <v>751</v>
      </c>
      <c r="E26" s="1368">
        <v>50000</v>
      </c>
      <c r="F26" s="1369"/>
      <c r="G26" s="1370"/>
      <c r="H26" s="1415">
        <f t="shared" si="6"/>
        <v>50000</v>
      </c>
      <c r="I26" s="1368">
        <v>50000</v>
      </c>
      <c r="J26" s="1369"/>
      <c r="K26" s="1370"/>
      <c r="L26" s="1415">
        <v>50000</v>
      </c>
      <c r="M26" s="2091"/>
      <c r="N26" s="1369"/>
      <c r="O26" s="1370"/>
      <c r="P26" s="1428">
        <f t="shared" si="10"/>
        <v>0</v>
      </c>
      <c r="Q26" s="2086">
        <f t="shared" si="1"/>
        <v>0</v>
      </c>
      <c r="R26" s="435"/>
      <c r="S26" s="435">
        <f t="shared" si="2"/>
        <v>0</v>
      </c>
      <c r="T26" s="1193">
        <f t="shared" si="5"/>
        <v>0</v>
      </c>
      <c r="U26" s="1100"/>
      <c r="V26" s="435">
        <f t="shared" si="3"/>
        <v>0</v>
      </c>
      <c r="W26" s="1100"/>
      <c r="X26" s="1100"/>
      <c r="Y26" s="1100"/>
      <c r="Z26" s="1100"/>
      <c r="AA26" s="209"/>
      <c r="AC26" s="209">
        <f t="shared" si="4"/>
        <v>0</v>
      </c>
      <c r="AE26" s="434">
        <v>50000</v>
      </c>
      <c r="AF26" s="429"/>
      <c r="AG26" s="429"/>
    </row>
    <row r="27" spans="1:33" ht="37.5" customHeight="1">
      <c r="A27" s="394" t="s">
        <v>491</v>
      </c>
      <c r="B27" s="392"/>
      <c r="C27" s="396">
        <v>613723</v>
      </c>
      <c r="D27" s="1406" t="s">
        <v>535</v>
      </c>
      <c r="E27" s="1368"/>
      <c r="F27" s="1369">
        <v>40000</v>
      </c>
      <c r="G27" s="1370"/>
      <c r="H27" s="1415">
        <f t="shared" si="6"/>
        <v>40000</v>
      </c>
      <c r="I27" s="1368"/>
      <c r="J27" s="1369">
        <v>65000</v>
      </c>
      <c r="K27" s="1370"/>
      <c r="L27" s="1415">
        <v>65000</v>
      </c>
      <c r="M27" s="2091"/>
      <c r="N27" s="1369">
        <v>65000</v>
      </c>
      <c r="O27" s="1370"/>
      <c r="P27" s="1428">
        <f t="shared" si="10"/>
        <v>65000</v>
      </c>
      <c r="Q27" s="2086">
        <f t="shared" si="1"/>
        <v>162.5</v>
      </c>
      <c r="R27" s="435"/>
      <c r="S27" s="435">
        <f t="shared" si="2"/>
        <v>0</v>
      </c>
      <c r="T27" s="1193">
        <f t="shared" si="5"/>
        <v>0</v>
      </c>
      <c r="U27" s="1100"/>
      <c r="V27" s="435">
        <f t="shared" si="3"/>
        <v>-65000</v>
      </c>
      <c r="W27" s="1100"/>
      <c r="X27" s="1100"/>
      <c r="Y27" s="1100"/>
      <c r="Z27" s="1100"/>
      <c r="AA27" s="209"/>
      <c r="AC27" s="209">
        <f t="shared" si="4"/>
        <v>0</v>
      </c>
      <c r="AE27" s="434"/>
      <c r="AF27" s="492">
        <v>40000</v>
      </c>
      <c r="AG27" s="429"/>
    </row>
    <row r="28" spans="1:33" ht="48.75" customHeight="1">
      <c r="A28" s="391" t="s">
        <v>491</v>
      </c>
      <c r="B28" s="392"/>
      <c r="C28" s="397">
        <v>821200</v>
      </c>
      <c r="D28" s="1409" t="s">
        <v>752</v>
      </c>
      <c r="E28" s="1365"/>
      <c r="F28" s="1366">
        <v>80000</v>
      </c>
      <c r="G28" s="1367"/>
      <c r="H28" s="1414">
        <f>E28+F28+G28</f>
        <v>80000</v>
      </c>
      <c r="I28" s="1365"/>
      <c r="J28" s="1366"/>
      <c r="K28" s="1367"/>
      <c r="L28" s="1414"/>
      <c r="M28" s="2090"/>
      <c r="N28" s="1366"/>
      <c r="O28" s="1367"/>
      <c r="P28" s="1428">
        <f t="shared" ref="P28:P57" si="11">SUM(M28:O28)</f>
        <v>0</v>
      </c>
      <c r="Q28" s="2086">
        <f t="shared" si="1"/>
        <v>0</v>
      </c>
      <c r="R28" s="435"/>
      <c r="S28" s="435">
        <f t="shared" si="2"/>
        <v>0</v>
      </c>
      <c r="T28" s="1193">
        <f t="shared" si="5"/>
        <v>0</v>
      </c>
      <c r="U28" s="435"/>
      <c r="V28" s="435">
        <f t="shared" si="3"/>
        <v>0</v>
      </c>
      <c r="W28" s="435"/>
      <c r="X28" s="435"/>
      <c r="Y28" s="435"/>
      <c r="Z28" s="435"/>
      <c r="AA28" s="209">
        <f>F28+F29+F31+G46+G47</f>
        <v>494953.05</v>
      </c>
      <c r="AC28" s="209">
        <f t="shared" si="4"/>
        <v>0</v>
      </c>
    </row>
    <row r="29" spans="1:33" ht="59.25" customHeight="1">
      <c r="A29" s="394" t="s">
        <v>491</v>
      </c>
      <c r="B29" s="392"/>
      <c r="C29" s="393" t="s">
        <v>195</v>
      </c>
      <c r="D29" s="1408" t="s">
        <v>1058</v>
      </c>
      <c r="E29" s="1365"/>
      <c r="F29" s="1366">
        <v>373098</v>
      </c>
      <c r="G29" s="1367"/>
      <c r="H29" s="1414">
        <f t="shared" ref="H29:H35" si="12">SUM(E29:G29)</f>
        <v>373098</v>
      </c>
      <c r="I29" s="1365"/>
      <c r="J29" s="1366"/>
      <c r="K29" s="1367"/>
      <c r="L29" s="1414"/>
      <c r="M29" s="2090"/>
      <c r="N29" s="1366"/>
      <c r="O29" s="1367"/>
      <c r="P29" s="1428">
        <f t="shared" si="11"/>
        <v>0</v>
      </c>
      <c r="Q29" s="2086">
        <f t="shared" si="1"/>
        <v>0</v>
      </c>
      <c r="R29" s="435"/>
      <c r="S29" s="435">
        <f t="shared" si="2"/>
        <v>0</v>
      </c>
      <c r="T29" s="1193">
        <f t="shared" si="5"/>
        <v>0</v>
      </c>
      <c r="U29" s="435"/>
      <c r="V29" s="435">
        <f t="shared" si="3"/>
        <v>0</v>
      </c>
      <c r="W29" s="435"/>
      <c r="X29" s="435"/>
      <c r="Y29" s="435"/>
      <c r="Z29" s="435"/>
      <c r="AA29" s="209"/>
      <c r="AC29" s="209">
        <f t="shared" si="4"/>
        <v>0</v>
      </c>
    </row>
    <row r="30" spans="1:33" ht="34.15" customHeight="1">
      <c r="A30" s="394" t="s">
        <v>478</v>
      </c>
      <c r="B30" s="613"/>
      <c r="C30" s="392" t="s">
        <v>1463</v>
      </c>
      <c r="D30" s="1408" t="s">
        <v>1464</v>
      </c>
      <c r="E30" s="1365"/>
      <c r="F30" s="1366">
        <v>35000</v>
      </c>
      <c r="G30" s="1367"/>
      <c r="H30" s="1414">
        <f>SUM(E30:G30)</f>
        <v>35000</v>
      </c>
      <c r="I30" s="1365"/>
      <c r="J30" s="1366"/>
      <c r="K30" s="1367"/>
      <c r="L30" s="1414"/>
      <c r="M30" s="2090"/>
      <c r="N30" s="1366">
        <v>30000</v>
      </c>
      <c r="O30" s="1367"/>
      <c r="P30" s="1429">
        <f>SUM(M30:O30)</f>
        <v>30000</v>
      </c>
      <c r="Q30" s="2086">
        <f t="shared" si="1"/>
        <v>85.714285714285708</v>
      </c>
      <c r="R30" s="435"/>
      <c r="S30" s="435">
        <f t="shared" si="2"/>
        <v>0</v>
      </c>
      <c r="T30" s="1193">
        <f t="shared" si="5"/>
        <v>0</v>
      </c>
      <c r="U30" s="435"/>
      <c r="V30" s="435">
        <f t="shared" si="3"/>
        <v>-30000</v>
      </c>
      <c r="W30" s="435"/>
      <c r="X30" s="435"/>
      <c r="Y30" s="435"/>
      <c r="Z30" s="435"/>
      <c r="AA30" s="209"/>
      <c r="AC30" s="209"/>
    </row>
    <row r="31" spans="1:33" ht="37.5" customHeight="1">
      <c r="A31" s="391" t="s">
        <v>478</v>
      </c>
      <c r="B31" s="392"/>
      <c r="C31" s="392" t="s">
        <v>219</v>
      </c>
      <c r="D31" s="1408" t="s">
        <v>1060</v>
      </c>
      <c r="E31" s="1365"/>
      <c r="F31" s="1366">
        <v>35152</v>
      </c>
      <c r="G31" s="1367"/>
      <c r="H31" s="1414">
        <f t="shared" si="12"/>
        <v>35152</v>
      </c>
      <c r="I31" s="1365"/>
      <c r="J31" s="1369"/>
      <c r="K31" s="1367"/>
      <c r="L31" s="1414">
        <v>1200000</v>
      </c>
      <c r="M31" s="2090"/>
      <c r="N31" s="1369"/>
      <c r="O31" s="1367"/>
      <c r="P31" s="1428">
        <f t="shared" si="11"/>
        <v>0</v>
      </c>
      <c r="Q31" s="2086">
        <f t="shared" si="1"/>
        <v>0</v>
      </c>
      <c r="R31" s="435"/>
      <c r="S31" s="435">
        <f t="shared" si="2"/>
        <v>0</v>
      </c>
      <c r="T31" s="1193">
        <f t="shared" si="5"/>
        <v>0</v>
      </c>
      <c r="U31" s="435"/>
      <c r="V31" s="435">
        <f t="shared" si="3"/>
        <v>0</v>
      </c>
      <c r="W31" s="435"/>
      <c r="X31" s="435"/>
      <c r="Y31" s="435"/>
      <c r="Z31" s="435"/>
      <c r="AA31" s="209"/>
      <c r="AC31" s="209">
        <f t="shared" ref="AC31:AC45" si="13">E31++F31+G31-H31</f>
        <v>0</v>
      </c>
    </row>
    <row r="32" spans="1:33" ht="37.5" customHeight="1">
      <c r="A32" s="394" t="s">
        <v>319</v>
      </c>
      <c r="B32" s="395"/>
      <c r="C32" s="393" t="s">
        <v>525</v>
      </c>
      <c r="D32" s="1410" t="s">
        <v>753</v>
      </c>
      <c r="E32" s="1365">
        <v>610000</v>
      </c>
      <c r="F32" s="1369"/>
      <c r="G32" s="1367"/>
      <c r="H32" s="1414">
        <f t="shared" si="12"/>
        <v>610000</v>
      </c>
      <c r="I32" s="1365">
        <v>1250000</v>
      </c>
      <c r="J32" s="1369"/>
      <c r="K32" s="1367"/>
      <c r="L32" s="1414">
        <v>30000</v>
      </c>
      <c r="M32" s="2090">
        <v>200000</v>
      </c>
      <c r="N32" s="1369"/>
      <c r="O32" s="1367"/>
      <c r="P32" s="1429">
        <f>SUM(M32:O32)</f>
        <v>200000</v>
      </c>
      <c r="Q32" s="2086">
        <f t="shared" si="1"/>
        <v>32.786885245901637</v>
      </c>
      <c r="R32" s="435"/>
      <c r="S32" s="435">
        <f t="shared" si="2"/>
        <v>0</v>
      </c>
      <c r="T32" s="1193">
        <f t="shared" si="5"/>
        <v>0</v>
      </c>
      <c r="U32" s="435"/>
      <c r="V32" s="435">
        <f t="shared" si="3"/>
        <v>-200000</v>
      </c>
      <c r="W32" s="435"/>
      <c r="X32" s="435"/>
      <c r="Y32" s="435"/>
      <c r="Z32" s="435"/>
      <c r="AA32" s="209"/>
      <c r="AC32" s="209">
        <f t="shared" si="13"/>
        <v>0</v>
      </c>
    </row>
    <row r="33" spans="1:29" ht="37.5" customHeight="1">
      <c r="A33" s="394" t="s">
        <v>554</v>
      </c>
      <c r="B33" s="395"/>
      <c r="C33" s="395" t="s">
        <v>238</v>
      </c>
      <c r="D33" s="1408" t="s">
        <v>627</v>
      </c>
      <c r="E33" s="1365">
        <v>30000</v>
      </c>
      <c r="F33" s="1369"/>
      <c r="G33" s="1367"/>
      <c r="H33" s="1414">
        <f t="shared" si="12"/>
        <v>30000</v>
      </c>
      <c r="I33" s="1365">
        <v>30000</v>
      </c>
      <c r="J33" s="1369"/>
      <c r="K33" s="1367"/>
      <c r="L33" s="1414">
        <v>1000000</v>
      </c>
      <c r="M33" s="2090">
        <v>30000</v>
      </c>
      <c r="N33" s="1369"/>
      <c r="O33" s="1367"/>
      <c r="P33" s="1429">
        <f>SUM(M33:O33)</f>
        <v>30000</v>
      </c>
      <c r="Q33" s="2086">
        <f t="shared" si="1"/>
        <v>100</v>
      </c>
      <c r="R33" s="435"/>
      <c r="S33" s="435">
        <f t="shared" si="2"/>
        <v>0</v>
      </c>
      <c r="T33" s="1193">
        <f t="shared" si="5"/>
        <v>0</v>
      </c>
      <c r="U33" s="435"/>
      <c r="V33" s="435">
        <f t="shared" si="3"/>
        <v>-30000</v>
      </c>
      <c r="W33" s="435"/>
      <c r="X33" s="435"/>
      <c r="Y33" s="435"/>
      <c r="Z33" s="435"/>
      <c r="AA33" s="209"/>
      <c r="AC33" s="209">
        <f t="shared" si="13"/>
        <v>0</v>
      </c>
    </row>
    <row r="34" spans="1:29" ht="45" customHeight="1">
      <c r="A34" s="394" t="s">
        <v>339</v>
      </c>
      <c r="B34" s="395"/>
      <c r="C34" s="393" t="s">
        <v>305</v>
      </c>
      <c r="D34" s="1410" t="s">
        <v>1610</v>
      </c>
      <c r="E34" s="1365">
        <v>758000</v>
      </c>
      <c r="F34" s="1369"/>
      <c r="G34" s="1367">
        <v>730020</v>
      </c>
      <c r="H34" s="1414">
        <f t="shared" si="12"/>
        <v>1488020</v>
      </c>
      <c r="I34" s="1365">
        <v>1200000</v>
      </c>
      <c r="J34" s="1369"/>
      <c r="K34" s="1367"/>
      <c r="L34" s="1414"/>
      <c r="M34" s="2090">
        <v>1000000</v>
      </c>
      <c r="N34" s="1369"/>
      <c r="O34" s="1367"/>
      <c r="P34" s="1429">
        <f>SUM(M34:O34)</f>
        <v>1000000</v>
      </c>
      <c r="Q34" s="2086">
        <f t="shared" si="1"/>
        <v>67.203397803792967</v>
      </c>
      <c r="R34" s="435"/>
      <c r="S34" s="435">
        <f t="shared" si="2"/>
        <v>0</v>
      </c>
      <c r="T34" s="1193">
        <f t="shared" si="5"/>
        <v>0</v>
      </c>
      <c r="U34" s="435"/>
      <c r="V34" s="435">
        <f t="shared" si="3"/>
        <v>-1000000</v>
      </c>
      <c r="W34" s="435"/>
      <c r="X34" s="435"/>
      <c r="Y34" s="435"/>
      <c r="Z34" s="435"/>
      <c r="AA34" s="209">
        <f>'[2]PRIH REBALANS'!$AG$1020</f>
        <v>758000</v>
      </c>
      <c r="AC34" s="209">
        <f t="shared" si="13"/>
        <v>0</v>
      </c>
    </row>
    <row r="35" spans="1:29" ht="56.25" customHeight="1">
      <c r="A35" s="394" t="s">
        <v>337</v>
      </c>
      <c r="B35" s="395"/>
      <c r="C35" s="393" t="s">
        <v>305</v>
      </c>
      <c r="D35" s="1410" t="s">
        <v>1649</v>
      </c>
      <c r="E35" s="1365"/>
      <c r="F35" s="1369"/>
      <c r="G35" s="1367">
        <v>31756</v>
      </c>
      <c r="H35" s="1414">
        <f t="shared" si="12"/>
        <v>31756</v>
      </c>
      <c r="I35" s="1365">
        <v>40000</v>
      </c>
      <c r="J35" s="1369"/>
      <c r="K35" s="1370"/>
      <c r="L35" s="1414">
        <v>40000</v>
      </c>
      <c r="M35" s="2090"/>
      <c r="N35" s="1369"/>
      <c r="O35" s="1370"/>
      <c r="P35" s="1429">
        <f t="shared" si="11"/>
        <v>0</v>
      </c>
      <c r="Q35" s="2086">
        <f t="shared" si="1"/>
        <v>0</v>
      </c>
      <c r="R35" s="435"/>
      <c r="S35" s="435">
        <f t="shared" si="2"/>
        <v>0</v>
      </c>
      <c r="T35" s="1193">
        <f t="shared" si="5"/>
        <v>0</v>
      </c>
      <c r="U35" s="435"/>
      <c r="V35" s="435">
        <f t="shared" si="3"/>
        <v>0</v>
      </c>
      <c r="W35" s="435"/>
      <c r="X35" s="435"/>
      <c r="Y35" s="435"/>
      <c r="Z35" s="435"/>
      <c r="AA35" s="209"/>
      <c r="AC35" s="209">
        <f t="shared" si="13"/>
        <v>0</v>
      </c>
    </row>
    <row r="36" spans="1:29" ht="37.5" customHeight="1">
      <c r="A36" s="438" t="s">
        <v>319</v>
      </c>
      <c r="B36" s="439" t="s">
        <v>527</v>
      </c>
      <c r="C36" s="440" t="s">
        <v>1286</v>
      </c>
      <c r="D36" s="1410" t="s">
        <v>1287</v>
      </c>
      <c r="E36" s="1365">
        <v>29565</v>
      </c>
      <c r="F36" s="1369"/>
      <c r="G36" s="1367"/>
      <c r="H36" s="1414">
        <f>SUM(E36)</f>
        <v>29565</v>
      </c>
      <c r="I36" s="1365">
        <v>50000</v>
      </c>
      <c r="J36" s="1369"/>
      <c r="K36" s="1370"/>
      <c r="L36" s="1414">
        <v>50000</v>
      </c>
      <c r="M36" s="2090"/>
      <c r="N36" s="1369"/>
      <c r="O36" s="1370"/>
      <c r="P36" s="1429">
        <f t="shared" si="11"/>
        <v>0</v>
      </c>
      <c r="Q36" s="2086">
        <f t="shared" si="1"/>
        <v>0</v>
      </c>
      <c r="R36" s="435"/>
      <c r="S36" s="435">
        <f t="shared" si="2"/>
        <v>0</v>
      </c>
      <c r="T36" s="1193">
        <f t="shared" si="5"/>
        <v>0</v>
      </c>
      <c r="U36" s="435"/>
      <c r="V36" s="435">
        <f t="shared" si="3"/>
        <v>0</v>
      </c>
      <c r="W36" s="435"/>
      <c r="X36" s="435"/>
      <c r="Y36" s="435"/>
      <c r="Z36" s="435"/>
      <c r="AA36" s="209"/>
      <c r="AC36" s="209">
        <f t="shared" si="13"/>
        <v>0</v>
      </c>
    </row>
    <row r="37" spans="1:29" ht="37.5" customHeight="1">
      <c r="A37" s="394" t="s">
        <v>319</v>
      </c>
      <c r="B37" s="395"/>
      <c r="C37" s="392" t="s">
        <v>538</v>
      </c>
      <c r="D37" s="1408" t="s">
        <v>539</v>
      </c>
      <c r="E37" s="1365">
        <v>35000</v>
      </c>
      <c r="F37" s="1369"/>
      <c r="G37" s="1370"/>
      <c r="H37" s="1414">
        <f t="shared" ref="H37:H48" si="14">SUM(E37:G37)</f>
        <v>35000</v>
      </c>
      <c r="I37" s="1365">
        <v>20000</v>
      </c>
      <c r="J37" s="1369"/>
      <c r="K37" s="1370"/>
      <c r="L37" s="1414">
        <v>20000</v>
      </c>
      <c r="M37" s="2412">
        <v>20000</v>
      </c>
      <c r="N37" s="1369"/>
      <c r="O37" s="1370"/>
      <c r="P37" s="1429">
        <f>SUM(M37:O37)</f>
        <v>20000</v>
      </c>
      <c r="Q37" s="2086">
        <f t="shared" si="1"/>
        <v>57.142857142857139</v>
      </c>
      <c r="R37" s="435"/>
      <c r="S37" s="435">
        <f t="shared" si="2"/>
        <v>0</v>
      </c>
      <c r="T37" s="1193">
        <f t="shared" si="5"/>
        <v>0</v>
      </c>
      <c r="U37" s="435"/>
      <c r="V37" s="435">
        <f t="shared" si="3"/>
        <v>-20000</v>
      </c>
      <c r="W37" s="435"/>
      <c r="X37" s="435"/>
      <c r="Y37" s="435"/>
      <c r="Z37" s="435"/>
      <c r="AA37" s="209">
        <f>'[2]PRIH REBALANS'!$AG$1024</f>
        <v>35000</v>
      </c>
      <c r="AC37" s="209">
        <f t="shared" si="13"/>
        <v>0</v>
      </c>
    </row>
    <row r="38" spans="1:29" ht="37.5" customHeight="1">
      <c r="A38" s="394" t="s">
        <v>319</v>
      </c>
      <c r="B38" s="395"/>
      <c r="C38" s="392" t="s">
        <v>538</v>
      </c>
      <c r="D38" s="1408" t="s">
        <v>754</v>
      </c>
      <c r="E38" s="1365">
        <v>50000</v>
      </c>
      <c r="F38" s="1369"/>
      <c r="G38" s="1370"/>
      <c r="H38" s="1414">
        <f t="shared" si="14"/>
        <v>50000</v>
      </c>
      <c r="I38" s="1365">
        <v>70000</v>
      </c>
      <c r="J38" s="1366"/>
      <c r="K38" s="1367"/>
      <c r="L38" s="1414">
        <v>70000</v>
      </c>
      <c r="M38" s="2412">
        <v>50000</v>
      </c>
      <c r="N38" s="1366"/>
      <c r="O38" s="1367"/>
      <c r="P38" s="1429">
        <f t="shared" si="11"/>
        <v>50000</v>
      </c>
      <c r="Q38" s="2086">
        <f t="shared" si="1"/>
        <v>100</v>
      </c>
      <c r="R38" s="435"/>
      <c r="S38" s="435">
        <f t="shared" si="2"/>
        <v>0</v>
      </c>
      <c r="T38" s="1193">
        <f t="shared" si="5"/>
        <v>0</v>
      </c>
      <c r="U38" s="435"/>
      <c r="V38" s="435">
        <f t="shared" si="3"/>
        <v>-50000</v>
      </c>
      <c r="W38" s="435"/>
      <c r="X38" s="435"/>
      <c r="Y38" s="435"/>
      <c r="Z38" s="435"/>
      <c r="AA38" s="209"/>
      <c r="AC38" s="209">
        <f t="shared" si="13"/>
        <v>0</v>
      </c>
    </row>
    <row r="39" spans="1:29" ht="37.5" customHeight="1">
      <c r="A39" s="394" t="s">
        <v>319</v>
      </c>
      <c r="B39" s="395" t="s">
        <v>517</v>
      </c>
      <c r="C39" s="392" t="s">
        <v>540</v>
      </c>
      <c r="D39" s="1404" t="s">
        <v>755</v>
      </c>
      <c r="E39" s="1365">
        <v>20000</v>
      </c>
      <c r="F39" s="1369"/>
      <c r="G39" s="1370"/>
      <c r="H39" s="1414">
        <f t="shared" si="14"/>
        <v>20000</v>
      </c>
      <c r="I39" s="1365">
        <v>40000</v>
      </c>
      <c r="J39" s="1366"/>
      <c r="K39" s="1367"/>
      <c r="L39" s="1414">
        <v>40000</v>
      </c>
      <c r="M39" s="2412">
        <v>20000</v>
      </c>
      <c r="N39" s="1366"/>
      <c r="O39" s="1367"/>
      <c r="P39" s="1429">
        <f t="shared" si="11"/>
        <v>20000</v>
      </c>
      <c r="Q39" s="2086">
        <f t="shared" si="1"/>
        <v>100</v>
      </c>
      <c r="R39" s="435"/>
      <c r="S39" s="435">
        <f t="shared" si="2"/>
        <v>0</v>
      </c>
      <c r="T39" s="1193">
        <f t="shared" si="5"/>
        <v>0</v>
      </c>
      <c r="U39" s="435"/>
      <c r="V39" s="435">
        <f t="shared" si="3"/>
        <v>-20000</v>
      </c>
      <c r="W39" s="435"/>
      <c r="X39" s="435"/>
      <c r="Y39" s="435"/>
      <c r="Z39" s="435"/>
      <c r="AA39" s="209"/>
      <c r="AC39" s="209">
        <f t="shared" si="13"/>
        <v>0</v>
      </c>
    </row>
    <row r="40" spans="1:29" ht="37.5" customHeight="1">
      <c r="A40" s="391" t="s">
        <v>319</v>
      </c>
      <c r="B40" s="392" t="s">
        <v>524</v>
      </c>
      <c r="C40" s="392" t="s">
        <v>541</v>
      </c>
      <c r="D40" s="1408" t="s">
        <v>542</v>
      </c>
      <c r="E40" s="1365">
        <v>60000</v>
      </c>
      <c r="F40" s="1366"/>
      <c r="G40" s="1367"/>
      <c r="H40" s="1414">
        <f t="shared" si="14"/>
        <v>60000</v>
      </c>
      <c r="I40" s="1365"/>
      <c r="J40" s="1366"/>
      <c r="K40" s="1367"/>
      <c r="L40" s="1414"/>
      <c r="M40" s="2412">
        <v>5000</v>
      </c>
      <c r="N40" s="1366"/>
      <c r="O40" s="1367"/>
      <c r="P40" s="1429">
        <f t="shared" si="11"/>
        <v>5000</v>
      </c>
      <c r="Q40" s="2086">
        <f t="shared" si="1"/>
        <v>8.3333333333333321</v>
      </c>
      <c r="R40" s="435"/>
      <c r="S40" s="435">
        <f t="shared" si="2"/>
        <v>0</v>
      </c>
      <c r="T40" s="1193">
        <f t="shared" si="5"/>
        <v>0</v>
      </c>
      <c r="U40" s="435"/>
      <c r="V40" s="435">
        <f t="shared" si="3"/>
        <v>-5000</v>
      </c>
      <c r="W40" s="435"/>
      <c r="X40" s="435"/>
      <c r="Y40" s="435"/>
      <c r="Z40" s="435"/>
      <c r="AA40" s="209"/>
      <c r="AC40" s="209">
        <f t="shared" si="13"/>
        <v>0</v>
      </c>
    </row>
    <row r="41" spans="1:29" ht="37.5" customHeight="1">
      <c r="A41" s="391" t="s">
        <v>319</v>
      </c>
      <c r="B41" s="392" t="s">
        <v>524</v>
      </c>
      <c r="C41" s="399" t="s">
        <v>1215</v>
      </c>
      <c r="D41" s="1411" t="s">
        <v>1216</v>
      </c>
      <c r="E41" s="1365">
        <v>60000</v>
      </c>
      <c r="F41" s="1366"/>
      <c r="G41" s="1367"/>
      <c r="H41" s="1414">
        <f t="shared" si="14"/>
        <v>60000</v>
      </c>
      <c r="I41" s="1427"/>
      <c r="J41" s="1366"/>
      <c r="K41" s="1367"/>
      <c r="L41" s="1414">
        <v>10000</v>
      </c>
      <c r="M41" s="2412">
        <v>20000</v>
      </c>
      <c r="N41" s="1366"/>
      <c r="O41" s="1367"/>
      <c r="P41" s="1429">
        <f t="shared" si="11"/>
        <v>20000</v>
      </c>
      <c r="Q41" s="2086">
        <f t="shared" si="1"/>
        <v>33.333333333333329</v>
      </c>
      <c r="R41" s="435"/>
      <c r="S41" s="435">
        <f t="shared" si="2"/>
        <v>0</v>
      </c>
      <c r="T41" s="1193">
        <f t="shared" si="5"/>
        <v>0</v>
      </c>
      <c r="U41" s="435"/>
      <c r="V41" s="435">
        <f t="shared" si="3"/>
        <v>-20000</v>
      </c>
      <c r="W41" s="435"/>
      <c r="X41" s="435"/>
      <c r="Y41" s="435"/>
      <c r="Z41" s="435"/>
      <c r="AA41" s="209"/>
      <c r="AC41" s="209">
        <f t="shared" si="13"/>
        <v>0</v>
      </c>
    </row>
    <row r="42" spans="1:29" ht="37.5" customHeight="1">
      <c r="A42" s="391" t="s">
        <v>319</v>
      </c>
      <c r="B42" s="392"/>
      <c r="C42" s="399" t="s">
        <v>1215</v>
      </c>
      <c r="D42" s="1408" t="s">
        <v>756</v>
      </c>
      <c r="E42" s="1365">
        <v>100000</v>
      </c>
      <c r="F42" s="1366"/>
      <c r="G42" s="1367"/>
      <c r="H42" s="1414">
        <f t="shared" si="14"/>
        <v>100000</v>
      </c>
      <c r="I42" s="1427"/>
      <c r="J42" s="1366"/>
      <c r="K42" s="1367"/>
      <c r="L42" s="1414">
        <v>60000</v>
      </c>
      <c r="M42" s="2969">
        <v>100000</v>
      </c>
      <c r="N42" s="1366"/>
      <c r="O42" s="1367"/>
      <c r="P42" s="1429">
        <f t="shared" si="11"/>
        <v>100000</v>
      </c>
      <c r="Q42" s="2086">
        <f t="shared" si="1"/>
        <v>100</v>
      </c>
      <c r="R42" s="435"/>
      <c r="S42" s="435">
        <f t="shared" si="2"/>
        <v>0</v>
      </c>
      <c r="T42" s="1193">
        <f t="shared" si="5"/>
        <v>0</v>
      </c>
      <c r="U42" s="435"/>
      <c r="V42" s="435">
        <f t="shared" si="3"/>
        <v>-100000</v>
      </c>
      <c r="W42" s="435"/>
      <c r="X42" s="435"/>
      <c r="Y42" s="435"/>
      <c r="Z42" s="435"/>
      <c r="AA42" s="209"/>
      <c r="AC42" s="209">
        <f t="shared" si="13"/>
        <v>0</v>
      </c>
    </row>
    <row r="43" spans="1:29" ht="37.5" customHeight="1">
      <c r="A43" s="391" t="s">
        <v>319</v>
      </c>
      <c r="B43" s="392"/>
      <c r="C43" s="392" t="s">
        <v>543</v>
      </c>
      <c r="D43" s="1408" t="s">
        <v>544</v>
      </c>
      <c r="E43" s="1365">
        <v>10000</v>
      </c>
      <c r="F43" s="1366"/>
      <c r="G43" s="1367"/>
      <c r="H43" s="1414">
        <f t="shared" si="14"/>
        <v>10000</v>
      </c>
      <c r="I43" s="1365">
        <v>10000</v>
      </c>
      <c r="J43" s="1366">
        <v>110000</v>
      </c>
      <c r="K43" s="1367"/>
      <c r="L43" s="1414">
        <v>110000</v>
      </c>
      <c r="M43" s="2090">
        <v>20000</v>
      </c>
      <c r="N43" s="1366"/>
      <c r="O43" s="1367"/>
      <c r="P43" s="1429">
        <f t="shared" si="11"/>
        <v>20000</v>
      </c>
      <c r="Q43" s="2086">
        <f t="shared" si="1"/>
        <v>200</v>
      </c>
      <c r="R43" s="435"/>
      <c r="S43" s="435">
        <f t="shared" si="2"/>
        <v>0</v>
      </c>
      <c r="T43" s="1193">
        <f t="shared" si="5"/>
        <v>0</v>
      </c>
      <c r="U43" s="435"/>
      <c r="V43" s="435">
        <f t="shared" si="3"/>
        <v>-20000</v>
      </c>
      <c r="W43" s="435"/>
      <c r="X43" s="435"/>
      <c r="Y43" s="435"/>
      <c r="Z43" s="435"/>
      <c r="AA43" s="209"/>
      <c r="AC43" s="209">
        <f t="shared" si="13"/>
        <v>0</v>
      </c>
    </row>
    <row r="44" spans="1:29" ht="37.5" customHeight="1">
      <c r="A44" s="391" t="s">
        <v>319</v>
      </c>
      <c r="B44" s="392"/>
      <c r="C44" s="392" t="s">
        <v>195</v>
      </c>
      <c r="D44" s="1408" t="s">
        <v>545</v>
      </c>
      <c r="E44" s="1365">
        <v>135000</v>
      </c>
      <c r="F44" s="1366"/>
      <c r="G44" s="1367"/>
      <c r="H44" s="1414">
        <f t="shared" si="14"/>
        <v>135000</v>
      </c>
      <c r="I44" s="1365">
        <v>60000</v>
      </c>
      <c r="J44" s="1366"/>
      <c r="K44" s="1367"/>
      <c r="L44" s="1414"/>
      <c r="M44" s="2090"/>
      <c r="N44" s="1366"/>
      <c r="O44" s="1367"/>
      <c r="P44" s="1429">
        <f t="shared" si="11"/>
        <v>0</v>
      </c>
      <c r="Q44" s="2086">
        <f t="shared" si="1"/>
        <v>0</v>
      </c>
      <c r="R44" s="435"/>
      <c r="S44" s="435">
        <f t="shared" si="2"/>
        <v>0</v>
      </c>
      <c r="T44" s="1193">
        <f t="shared" si="5"/>
        <v>0</v>
      </c>
      <c r="U44" s="435"/>
      <c r="V44" s="435">
        <f t="shared" si="3"/>
        <v>0</v>
      </c>
      <c r="W44" s="435"/>
      <c r="X44" s="435"/>
      <c r="Y44" s="435"/>
      <c r="Z44" s="435"/>
      <c r="AA44" s="209"/>
      <c r="AC44" s="209">
        <f t="shared" si="13"/>
        <v>0</v>
      </c>
    </row>
    <row r="45" spans="1:29" ht="37.5" customHeight="1">
      <c r="A45" s="391" t="s">
        <v>478</v>
      </c>
      <c r="B45" s="392"/>
      <c r="C45" s="392" t="s">
        <v>195</v>
      </c>
      <c r="D45" s="1404" t="s">
        <v>757</v>
      </c>
      <c r="E45" s="1365"/>
      <c r="F45" s="1366">
        <v>80000</v>
      </c>
      <c r="G45" s="1367"/>
      <c r="H45" s="1414">
        <f t="shared" si="14"/>
        <v>80000</v>
      </c>
      <c r="I45" s="1365"/>
      <c r="J45" s="1366"/>
      <c r="K45" s="1367"/>
      <c r="L45" s="1414">
        <v>40000</v>
      </c>
      <c r="M45" s="2090"/>
      <c r="N45" s="1366">
        <v>70000</v>
      </c>
      <c r="O45" s="1367"/>
      <c r="P45" s="1429">
        <f t="shared" si="11"/>
        <v>70000</v>
      </c>
      <c r="Q45" s="2086">
        <f t="shared" si="1"/>
        <v>87.5</v>
      </c>
      <c r="R45" s="435"/>
      <c r="S45" s="435">
        <f t="shared" si="2"/>
        <v>0</v>
      </c>
      <c r="T45" s="1193">
        <f t="shared" si="5"/>
        <v>0</v>
      </c>
      <c r="U45" s="435"/>
      <c r="V45" s="435">
        <f t="shared" si="3"/>
        <v>-70000</v>
      </c>
      <c r="W45" s="435"/>
      <c r="X45" s="435"/>
      <c r="Y45" s="435"/>
      <c r="Z45" s="435"/>
      <c r="AA45" s="209"/>
      <c r="AC45" s="209">
        <f t="shared" si="13"/>
        <v>0</v>
      </c>
    </row>
    <row r="46" spans="1:29" ht="37.5" customHeight="1">
      <c r="A46" s="612" t="s">
        <v>337</v>
      </c>
      <c r="B46" s="613"/>
      <c r="C46" s="613" t="s">
        <v>195</v>
      </c>
      <c r="D46" s="1404" t="s">
        <v>1461</v>
      </c>
      <c r="E46" s="1365"/>
      <c r="F46" s="1366"/>
      <c r="G46" s="1367">
        <v>1303.05</v>
      </c>
      <c r="H46" s="1414">
        <f t="shared" si="14"/>
        <v>1303.05</v>
      </c>
      <c r="I46" s="1365"/>
      <c r="J46" s="1366"/>
      <c r="K46" s="1367"/>
      <c r="L46" s="1414"/>
      <c r="M46" s="2090"/>
      <c r="N46" s="1366"/>
      <c r="O46" s="1367"/>
      <c r="P46" s="1429">
        <f t="shared" si="11"/>
        <v>0</v>
      </c>
      <c r="Q46" s="2086">
        <f t="shared" si="1"/>
        <v>0</v>
      </c>
      <c r="R46" s="435"/>
      <c r="S46" s="435">
        <f t="shared" si="2"/>
        <v>0</v>
      </c>
      <c r="T46" s="1193">
        <f t="shared" si="5"/>
        <v>0</v>
      </c>
      <c r="U46" s="435"/>
      <c r="V46" s="435">
        <f t="shared" si="3"/>
        <v>0</v>
      </c>
      <c r="W46" s="435"/>
      <c r="X46" s="435"/>
      <c r="Y46" s="435"/>
      <c r="Z46" s="435"/>
      <c r="AA46" s="209"/>
      <c r="AC46" s="209"/>
    </row>
    <row r="47" spans="1:29" ht="37.5" customHeight="1">
      <c r="A47" s="612" t="s">
        <v>337</v>
      </c>
      <c r="B47" s="613"/>
      <c r="C47" s="613" t="s">
        <v>195</v>
      </c>
      <c r="D47" s="1404" t="s">
        <v>1462</v>
      </c>
      <c r="E47" s="1365"/>
      <c r="F47" s="1366"/>
      <c r="G47" s="1367">
        <v>5400</v>
      </c>
      <c r="H47" s="1414">
        <f t="shared" si="14"/>
        <v>5400</v>
      </c>
      <c r="I47" s="1365"/>
      <c r="J47" s="1366"/>
      <c r="K47" s="1367"/>
      <c r="L47" s="1414"/>
      <c r="M47" s="2090"/>
      <c r="N47" s="1366"/>
      <c r="O47" s="1367"/>
      <c r="P47" s="1429">
        <f t="shared" si="11"/>
        <v>0</v>
      </c>
      <c r="Q47" s="2086">
        <f t="shared" si="1"/>
        <v>0</v>
      </c>
      <c r="R47" s="435"/>
      <c r="S47" s="435">
        <f t="shared" si="2"/>
        <v>0</v>
      </c>
      <c r="T47" s="1193">
        <f t="shared" si="5"/>
        <v>0</v>
      </c>
      <c r="U47" s="435"/>
      <c r="V47" s="435">
        <f t="shared" si="3"/>
        <v>0</v>
      </c>
      <c r="W47" s="435"/>
      <c r="X47" s="435"/>
      <c r="Y47" s="435"/>
      <c r="Z47" s="435"/>
      <c r="AA47" s="209"/>
      <c r="AC47" s="209"/>
    </row>
    <row r="48" spans="1:29" ht="57" customHeight="1">
      <c r="A48" s="391" t="s">
        <v>319</v>
      </c>
      <c r="B48" s="392" t="s">
        <v>519</v>
      </c>
      <c r="C48" s="392" t="s">
        <v>546</v>
      </c>
      <c r="D48" s="1408" t="s">
        <v>547</v>
      </c>
      <c r="E48" s="1365">
        <v>81000</v>
      </c>
      <c r="F48" s="1366"/>
      <c r="G48" s="1367"/>
      <c r="H48" s="1414">
        <f t="shared" si="14"/>
        <v>81000</v>
      </c>
      <c r="I48" s="1365"/>
      <c r="J48" s="1366"/>
      <c r="K48" s="1367"/>
      <c r="L48" s="1414"/>
      <c r="M48" s="2090"/>
      <c r="N48" s="1366"/>
      <c r="O48" s="1367"/>
      <c r="P48" s="1429">
        <f t="shared" si="11"/>
        <v>0</v>
      </c>
      <c r="Q48" s="2086">
        <f t="shared" si="1"/>
        <v>0</v>
      </c>
      <c r="R48" s="435"/>
      <c r="S48" s="435">
        <f t="shared" si="2"/>
        <v>0</v>
      </c>
      <c r="T48" s="1193">
        <f t="shared" si="5"/>
        <v>0</v>
      </c>
      <c r="U48" s="435"/>
      <c r="V48" s="435">
        <f t="shared" si="3"/>
        <v>0</v>
      </c>
      <c r="W48" s="435"/>
      <c r="X48" s="435"/>
      <c r="Y48" s="435"/>
      <c r="Z48" s="435"/>
      <c r="AA48" s="209"/>
      <c r="AC48" s="209">
        <f>E48++F48+G48-H48</f>
        <v>0</v>
      </c>
    </row>
    <row r="49" spans="1:29" ht="37.5" customHeight="1">
      <c r="A49" s="391" t="s">
        <v>319</v>
      </c>
      <c r="B49" s="392"/>
      <c r="C49" s="392" t="s">
        <v>195</v>
      </c>
      <c r="D49" s="1408" t="s">
        <v>758</v>
      </c>
      <c r="E49" s="1365">
        <v>40000</v>
      </c>
      <c r="F49" s="1366"/>
      <c r="G49" s="1367"/>
      <c r="H49" s="1414">
        <f t="shared" ref="H49" si="15">SUM(E49:G49)</f>
        <v>40000</v>
      </c>
      <c r="I49" s="1365"/>
      <c r="J49" s="1366"/>
      <c r="K49" s="1367"/>
      <c r="L49" s="1414"/>
      <c r="M49" s="2090">
        <v>40000</v>
      </c>
      <c r="N49" s="1366"/>
      <c r="O49" s="1367"/>
      <c r="P49" s="1429">
        <f t="shared" si="11"/>
        <v>40000</v>
      </c>
      <c r="Q49" s="2086">
        <f t="shared" si="1"/>
        <v>100</v>
      </c>
      <c r="R49" s="435"/>
      <c r="S49" s="435">
        <f t="shared" si="2"/>
        <v>0</v>
      </c>
      <c r="T49" s="1193">
        <f t="shared" si="5"/>
        <v>0</v>
      </c>
      <c r="U49" s="435"/>
      <c r="V49" s="435">
        <f t="shared" si="3"/>
        <v>-40000</v>
      </c>
      <c r="W49" s="435"/>
      <c r="X49" s="435"/>
      <c r="Y49" s="435"/>
      <c r="Z49" s="435"/>
      <c r="AA49" s="209"/>
      <c r="AC49" s="209">
        <f>E49++F49+G49-H49</f>
        <v>0</v>
      </c>
    </row>
    <row r="50" spans="1:29" ht="37.5" customHeight="1">
      <c r="A50" s="749" t="s">
        <v>337</v>
      </c>
      <c r="B50" s="613"/>
      <c r="C50" s="440"/>
      <c r="D50" s="1399" t="s">
        <v>548</v>
      </c>
      <c r="E50" s="1365"/>
      <c r="F50" s="1366"/>
      <c r="G50" s="1367">
        <v>500</v>
      </c>
      <c r="H50" s="1400">
        <f t="shared" ref="H50" si="16">SUM(E50:G50)</f>
        <v>500</v>
      </c>
      <c r="I50" s="1365"/>
      <c r="J50" s="1366"/>
      <c r="K50" s="1367"/>
      <c r="L50" s="1414"/>
      <c r="M50" s="2090"/>
      <c r="N50" s="1366"/>
      <c r="O50" s="1367"/>
      <c r="P50" s="1428"/>
      <c r="Q50" s="2086">
        <f t="shared" si="1"/>
        <v>0</v>
      </c>
      <c r="R50" s="435"/>
      <c r="S50" s="435">
        <f t="shared" si="2"/>
        <v>0</v>
      </c>
      <c r="T50" s="1193">
        <f t="shared" si="5"/>
        <v>0</v>
      </c>
      <c r="U50" s="435"/>
      <c r="V50" s="435">
        <f t="shared" si="3"/>
        <v>0</v>
      </c>
      <c r="W50" s="435"/>
      <c r="X50" s="435"/>
      <c r="Y50" s="435"/>
      <c r="Z50" s="435"/>
      <c r="AA50" s="209"/>
      <c r="AC50" s="209">
        <f>E50++F50+G50-H50</f>
        <v>0</v>
      </c>
    </row>
    <row r="51" spans="1:29" ht="37.5">
      <c r="A51" s="1396"/>
      <c r="B51" s="1397"/>
      <c r="C51" s="1398"/>
      <c r="D51" s="1399" t="s">
        <v>1663</v>
      </c>
      <c r="E51" s="1365"/>
      <c r="F51" s="1366"/>
      <c r="G51" s="1367"/>
      <c r="H51" s="1400"/>
      <c r="I51" s="1365">
        <f>SUM(I52:I54)</f>
        <v>14800</v>
      </c>
      <c r="J51" s="1366"/>
      <c r="K51" s="1367"/>
      <c r="L51" s="1429">
        <f>SUM(L52:L54)</f>
        <v>14800</v>
      </c>
      <c r="M51" s="2090">
        <f>SUM(M52:M54)</f>
        <v>14800</v>
      </c>
      <c r="N51" s="1366"/>
      <c r="O51" s="1367"/>
      <c r="P51" s="1429">
        <f>SUM(P52:P54)</f>
        <v>14800</v>
      </c>
      <c r="Q51" s="2086"/>
      <c r="R51" s="435"/>
      <c r="S51" s="435">
        <f t="shared" si="2"/>
        <v>0</v>
      </c>
      <c r="T51" s="1193">
        <f t="shared" si="5"/>
        <v>0</v>
      </c>
      <c r="V51" s="435">
        <f t="shared" si="3"/>
        <v>-14800</v>
      </c>
    </row>
    <row r="52" spans="1:29">
      <c r="A52" s="1396"/>
      <c r="B52" s="1397"/>
      <c r="C52" s="1398"/>
      <c r="D52" s="1399"/>
      <c r="E52" s="1365"/>
      <c r="F52" s="1366"/>
      <c r="G52" s="1367"/>
      <c r="H52" s="1400"/>
      <c r="I52" s="1368">
        <v>1500</v>
      </c>
      <c r="J52" s="1369"/>
      <c r="K52" s="1370"/>
      <c r="L52" s="1428">
        <v>1500</v>
      </c>
      <c r="M52" s="2091">
        <v>1500</v>
      </c>
      <c r="N52" s="1369"/>
      <c r="O52" s="1370"/>
      <c r="P52" s="1428">
        <f>SUM(M52:O52)</f>
        <v>1500</v>
      </c>
      <c r="Q52" s="2086"/>
      <c r="R52" s="435"/>
      <c r="S52" s="435">
        <f t="shared" si="2"/>
        <v>0</v>
      </c>
      <c r="T52" s="1193">
        <f t="shared" si="5"/>
        <v>0</v>
      </c>
      <c r="V52" s="435">
        <f t="shared" si="3"/>
        <v>-1500</v>
      </c>
    </row>
    <row r="53" spans="1:29">
      <c r="A53" s="1396"/>
      <c r="B53" s="1397"/>
      <c r="C53" s="1398"/>
      <c r="D53" s="1399"/>
      <c r="E53" s="1365"/>
      <c r="F53" s="1366"/>
      <c r="G53" s="1367"/>
      <c r="H53" s="1400"/>
      <c r="I53" s="1368">
        <v>3300</v>
      </c>
      <c r="J53" s="1369"/>
      <c r="K53" s="1370"/>
      <c r="L53" s="1428">
        <v>3300</v>
      </c>
      <c r="M53" s="2091">
        <v>3300</v>
      </c>
      <c r="N53" s="1369"/>
      <c r="O53" s="1370"/>
      <c r="P53" s="1428">
        <f t="shared" si="11"/>
        <v>3300</v>
      </c>
      <c r="Q53" s="2086"/>
      <c r="R53" s="435"/>
      <c r="S53" s="435">
        <f t="shared" si="2"/>
        <v>0</v>
      </c>
      <c r="T53" s="1193">
        <f t="shared" si="5"/>
        <v>0</v>
      </c>
      <c r="V53" s="435">
        <f t="shared" si="3"/>
        <v>-3300</v>
      </c>
    </row>
    <row r="54" spans="1:29">
      <c r="A54" s="1396"/>
      <c r="B54" s="1397"/>
      <c r="C54" s="1398"/>
      <c r="D54" s="1399"/>
      <c r="E54" s="1365"/>
      <c r="F54" s="1366"/>
      <c r="G54" s="1367"/>
      <c r="H54" s="1400"/>
      <c r="I54" s="1368">
        <v>10000</v>
      </c>
      <c r="J54" s="1369"/>
      <c r="K54" s="1370"/>
      <c r="L54" s="1428">
        <v>10000</v>
      </c>
      <c r="M54" s="2091">
        <v>10000</v>
      </c>
      <c r="N54" s="1369"/>
      <c r="O54" s="1370"/>
      <c r="P54" s="1428">
        <f t="shared" si="11"/>
        <v>10000</v>
      </c>
      <c r="Q54" s="2086"/>
      <c r="R54" s="435"/>
      <c r="S54" s="435">
        <f t="shared" si="2"/>
        <v>0</v>
      </c>
      <c r="T54" s="1193">
        <f t="shared" si="5"/>
        <v>0</v>
      </c>
      <c r="V54" s="435">
        <f t="shared" si="3"/>
        <v>-10000</v>
      </c>
    </row>
    <row r="55" spans="1:29" ht="19.5">
      <c r="A55" s="750"/>
      <c r="B55" s="751"/>
      <c r="C55" s="751"/>
      <c r="D55" s="1412" t="s">
        <v>804</v>
      </c>
      <c r="E55" s="1423">
        <f>SUM(E7,E19,E32:E49)</f>
        <v>8068565</v>
      </c>
      <c r="F55" s="1371">
        <f>SUM(F45,F30,F20:F27)</f>
        <v>3611587</v>
      </c>
      <c r="G55" s="1424">
        <f>SUM(G34)</f>
        <v>730020</v>
      </c>
      <c r="H55" s="1416">
        <f>SUM(E55:G55)</f>
        <v>12410172</v>
      </c>
      <c r="I55" s="2396"/>
      <c r="J55" s="2397"/>
      <c r="K55" s="2398"/>
      <c r="L55" s="2192"/>
      <c r="M55" s="2413"/>
      <c r="N55" s="2397"/>
      <c r="O55" s="2398"/>
      <c r="P55" s="2399">
        <f t="shared" si="11"/>
        <v>0</v>
      </c>
      <c r="Q55" s="2418"/>
      <c r="R55" s="2454"/>
      <c r="S55" s="435">
        <f t="shared" si="2"/>
        <v>0</v>
      </c>
      <c r="T55" s="1193">
        <f t="shared" si="5"/>
        <v>0</v>
      </c>
      <c r="V55" s="435">
        <f t="shared" si="3"/>
        <v>0</v>
      </c>
    </row>
    <row r="56" spans="1:29" ht="19.5">
      <c r="A56" s="750"/>
      <c r="B56" s="752"/>
      <c r="C56" s="752"/>
      <c r="D56" s="1413" t="s">
        <v>793</v>
      </c>
      <c r="E56" s="1423">
        <f>SUM(E21:E25,E30,E45)</f>
        <v>0</v>
      </c>
      <c r="F56" s="1371">
        <f>SUM(F31,F28:F29)</f>
        <v>488250</v>
      </c>
      <c r="G56" s="1424">
        <f>SUM(G35,G46:G47,G50)</f>
        <v>38959.050000000003</v>
      </c>
      <c r="H56" s="1416">
        <f>SUM(E56:G56)</f>
        <v>527209.05000000005</v>
      </c>
      <c r="I56" s="2396"/>
      <c r="J56" s="2397"/>
      <c r="K56" s="2398"/>
      <c r="L56" s="2192"/>
      <c r="M56" s="2413"/>
      <c r="N56" s="2397"/>
      <c r="O56" s="2398"/>
      <c r="P56" s="2399">
        <f t="shared" si="11"/>
        <v>0</v>
      </c>
      <c r="Q56" s="2418"/>
      <c r="R56" s="2454"/>
      <c r="S56" s="435">
        <f t="shared" si="2"/>
        <v>0</v>
      </c>
      <c r="T56" s="1193">
        <f t="shared" si="5"/>
        <v>0</v>
      </c>
      <c r="V56" s="435">
        <f t="shared" si="3"/>
        <v>0</v>
      </c>
    </row>
    <row r="57" spans="1:29" ht="20.25" thickBot="1">
      <c r="A57" s="753"/>
      <c r="B57" s="3455"/>
      <c r="C57" s="3455"/>
      <c r="D57" s="3456"/>
      <c r="E57" s="1425">
        <f>SUM(E55:E56)</f>
        <v>8068565</v>
      </c>
      <c r="F57" s="1372">
        <f t="shared" ref="F57:H57" si="17">SUM(F55:F56)</f>
        <v>4099837</v>
      </c>
      <c r="G57" s="1426">
        <f t="shared" si="17"/>
        <v>768979.05</v>
      </c>
      <c r="H57" s="2406">
        <f t="shared" si="17"/>
        <v>12937381.050000001</v>
      </c>
      <c r="I57" s="2407"/>
      <c r="J57" s="2408"/>
      <c r="K57" s="2409"/>
      <c r="L57" s="2410"/>
      <c r="M57" s="2414"/>
      <c r="N57" s="2189"/>
      <c r="O57" s="2415"/>
      <c r="P57" s="2421">
        <f t="shared" si="11"/>
        <v>0</v>
      </c>
      <c r="Q57" s="2418"/>
      <c r="R57" s="2454"/>
      <c r="S57" s="435">
        <f t="shared" si="2"/>
        <v>0</v>
      </c>
      <c r="T57" s="1193">
        <f t="shared" si="5"/>
        <v>0</v>
      </c>
      <c r="V57" s="435">
        <f t="shared" si="3"/>
        <v>0</v>
      </c>
    </row>
    <row r="58" spans="1:29" ht="19.5" thickTop="1">
      <c r="E58" s="209"/>
      <c r="F58" s="209"/>
      <c r="G58" s="209"/>
      <c r="H58" s="2411"/>
      <c r="I58" s="1444"/>
      <c r="J58" s="1444"/>
      <c r="K58" s="1444"/>
      <c r="L58" s="1444"/>
      <c r="T58" s="1193">
        <f t="shared" si="5"/>
        <v>0</v>
      </c>
    </row>
    <row r="59" spans="1:29">
      <c r="E59" s="209"/>
      <c r="F59" s="209"/>
      <c r="G59" s="209"/>
      <c r="H59" s="477"/>
      <c r="I59" s="325"/>
      <c r="J59" s="325"/>
      <c r="K59" s="325"/>
      <c r="L59" s="325"/>
      <c r="T59" s="1193">
        <f t="shared" si="5"/>
        <v>0</v>
      </c>
    </row>
    <row r="60" spans="1:29">
      <c r="H60" s="325"/>
      <c r="I60" s="325"/>
      <c r="J60" s="325"/>
      <c r="K60" s="325"/>
      <c r="L60" s="325"/>
    </row>
    <row r="61" spans="1:29">
      <c r="H61" s="325"/>
      <c r="I61" s="325"/>
      <c r="J61" s="325"/>
      <c r="K61" s="325"/>
      <c r="L61" s="325"/>
    </row>
    <row r="62" spans="1:29">
      <c r="H62" s="325"/>
      <c r="I62" s="325"/>
      <c r="J62" s="325"/>
      <c r="K62" s="325"/>
      <c r="L62" s="325"/>
    </row>
    <row r="63" spans="1:29">
      <c r="H63" s="325"/>
      <c r="I63" s="325"/>
      <c r="J63" s="325"/>
      <c r="K63" s="325"/>
      <c r="L63" s="325"/>
    </row>
  </sheetData>
  <mergeCells count="9">
    <mergeCell ref="E2:H2"/>
    <mergeCell ref="Q2:Q3"/>
    <mergeCell ref="B57:D57"/>
    <mergeCell ref="M2:P2"/>
    <mergeCell ref="A2:A3"/>
    <mergeCell ref="B2:B3"/>
    <mergeCell ref="C2:C3"/>
    <mergeCell ref="D2:D3"/>
    <mergeCell ref="I2:L2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Header>&amp;RPrilog br.7</oddHeader>
    <oddFooter>&amp;L&amp;"Times New Roman,Uobičajeno"&amp;16&amp;K00-027Budžet  Grada Mostara za 2022.godinu-Služba za komunalne pos
love i zaštitu okoline&amp;C&amp;16&amp;P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1"/>
  <dimension ref="A1:U12"/>
  <sheetViews>
    <sheetView view="pageBreakPreview" zoomScale="73" zoomScaleNormal="100" zoomScaleSheetLayoutView="73" workbookViewId="0">
      <selection activeCell="R8" sqref="R8"/>
    </sheetView>
  </sheetViews>
  <sheetFormatPr defaultRowHeight="15"/>
  <cols>
    <col min="1" max="1" width="9.28515625" bestFit="1" customWidth="1"/>
    <col min="3" max="3" width="9.28515625" bestFit="1" customWidth="1"/>
    <col min="4" max="4" width="37.42578125" customWidth="1"/>
    <col min="5" max="5" width="12.28515625" customWidth="1"/>
    <col min="6" max="6" width="12.42578125" customWidth="1"/>
    <col min="7" max="7" width="11.42578125" customWidth="1"/>
    <col min="8" max="16" width="13.28515625" customWidth="1"/>
    <col min="18" max="18" width="12" customWidth="1"/>
    <col min="19" max="19" width="13.7109375" customWidth="1"/>
    <col min="20" max="20" width="14.85546875" customWidth="1"/>
  </cols>
  <sheetData>
    <row r="1" spans="1:21" ht="43.15" customHeight="1" thickBot="1">
      <c r="D1" s="611" t="s">
        <v>1460</v>
      </c>
    </row>
    <row r="2" spans="1:21" ht="42" customHeight="1" thickTop="1">
      <c r="A2" s="3468" t="s">
        <v>200</v>
      </c>
      <c r="B2" s="3470" t="s">
        <v>201</v>
      </c>
      <c r="C2" s="3470" t="s">
        <v>202</v>
      </c>
      <c r="D2" s="3472" t="s">
        <v>1</v>
      </c>
      <c r="E2" s="3463" t="s">
        <v>1279</v>
      </c>
      <c r="F2" s="3464"/>
      <c r="G2" s="3464"/>
      <c r="H2" s="3465"/>
      <c r="I2" s="2368"/>
      <c r="J2" s="2368"/>
      <c r="K2" s="2368"/>
      <c r="L2" s="2368"/>
      <c r="M2" s="3463" t="s">
        <v>1654</v>
      </c>
      <c r="N2" s="3464"/>
      <c r="O2" s="3464"/>
      <c r="P2" s="3465"/>
      <c r="Q2" s="3466" t="s">
        <v>49</v>
      </c>
    </row>
    <row r="3" spans="1:21" ht="135.6" customHeight="1">
      <c r="A3" s="3469"/>
      <c r="B3" s="3471"/>
      <c r="C3" s="3471"/>
      <c r="D3" s="3473"/>
      <c r="E3" s="2369" t="s">
        <v>50</v>
      </c>
      <c r="F3" s="2370" t="s">
        <v>162</v>
      </c>
      <c r="G3" s="2371" t="s">
        <v>52</v>
      </c>
      <c r="H3" s="2372" t="s">
        <v>606</v>
      </c>
      <c r="I3" s="2369" t="s">
        <v>50</v>
      </c>
      <c r="J3" s="2370" t="s">
        <v>162</v>
      </c>
      <c r="K3" s="2371" t="s">
        <v>52</v>
      </c>
      <c r="L3" s="2372" t="s">
        <v>606</v>
      </c>
      <c r="M3" s="2369" t="s">
        <v>50</v>
      </c>
      <c r="N3" s="2370" t="s">
        <v>162</v>
      </c>
      <c r="O3" s="2371" t="s">
        <v>52</v>
      </c>
      <c r="P3" s="2372" t="s">
        <v>606</v>
      </c>
      <c r="Q3" s="3467"/>
    </row>
    <row r="4" spans="1:21" ht="37.5">
      <c r="A4" s="2373"/>
      <c r="B4" s="2374"/>
      <c r="C4" s="2374"/>
      <c r="D4" s="2375"/>
      <c r="E4" s="2376">
        <v>1</v>
      </c>
      <c r="F4" s="2377">
        <v>2</v>
      </c>
      <c r="G4" s="2378">
        <v>3</v>
      </c>
      <c r="H4" s="2379" t="s">
        <v>653</v>
      </c>
      <c r="I4" s="2376">
        <v>5</v>
      </c>
      <c r="J4" s="2377">
        <v>6</v>
      </c>
      <c r="K4" s="2378">
        <v>7</v>
      </c>
      <c r="L4" s="2379" t="s">
        <v>1664</v>
      </c>
      <c r="M4" s="2376">
        <v>9</v>
      </c>
      <c r="N4" s="2377">
        <v>10</v>
      </c>
      <c r="O4" s="2378">
        <v>11</v>
      </c>
      <c r="P4" s="2380" t="s">
        <v>1501</v>
      </c>
      <c r="Q4" s="2381">
        <v>13</v>
      </c>
    </row>
    <row r="5" spans="1:21" ht="63.75" customHeight="1">
      <c r="A5" s="2382"/>
      <c r="B5" s="2383"/>
      <c r="C5" s="2383"/>
      <c r="D5" s="2384" t="s">
        <v>829</v>
      </c>
      <c r="E5" s="2385"/>
      <c r="F5" s="2386"/>
      <c r="G5" s="2387"/>
      <c r="H5" s="2388"/>
      <c r="I5" s="2385"/>
      <c r="J5" s="2386"/>
      <c r="K5" s="2387"/>
      <c r="L5" s="2388"/>
      <c r="M5" s="2385"/>
      <c r="N5" s="2386"/>
      <c r="O5" s="2387"/>
      <c r="P5" s="2388"/>
      <c r="Q5" s="2389"/>
    </row>
    <row r="6" spans="1:21" ht="39" customHeight="1">
      <c r="A6" s="1102" t="s">
        <v>507</v>
      </c>
      <c r="B6" s="1103" t="s">
        <v>206</v>
      </c>
      <c r="C6" s="1104"/>
      <c r="D6" s="1105" t="s">
        <v>552</v>
      </c>
      <c r="E6" s="1106">
        <f>SUM(E8:E11)</f>
        <v>116000</v>
      </c>
      <c r="F6" s="1107"/>
      <c r="G6" s="1108">
        <f>SUM(G7:G11)</f>
        <v>237560.21000000002</v>
      </c>
      <c r="H6" s="1109">
        <f>SUM(H7:H11)</f>
        <v>353560.21</v>
      </c>
      <c r="I6" s="1106">
        <f>SUM(I8:I11)</f>
        <v>600000</v>
      </c>
      <c r="J6" s="1107"/>
      <c r="K6" s="1108">
        <f>SUM(K7:K11)</f>
        <v>970000</v>
      </c>
      <c r="L6" s="1109">
        <f>SUM(L7:L11)</f>
        <v>1570000</v>
      </c>
      <c r="M6" s="1106">
        <f>SUM(M8:M11)</f>
        <v>470000</v>
      </c>
      <c r="N6" s="1107"/>
      <c r="O6" s="1108">
        <f>SUM(O7:O11)</f>
        <v>570000</v>
      </c>
      <c r="P6" s="1109">
        <f>SUM(P7:P11)</f>
        <v>1040000</v>
      </c>
      <c r="Q6" s="1110">
        <f>P6/H6*100</f>
        <v>294.1507473366417</v>
      </c>
      <c r="R6" s="209">
        <f>'[1]PRIH REBALANS'!$AK$1040</f>
        <v>1040000</v>
      </c>
      <c r="S6" s="209">
        <f>SUM(G7:G11)</f>
        <v>237560.21000000002</v>
      </c>
      <c r="T6" s="209">
        <f>SUM(H7:H11)</f>
        <v>353560.21</v>
      </c>
      <c r="U6" s="209" t="e">
        <f>SUM(V6R7:H11)</f>
        <v>#NAME?</v>
      </c>
    </row>
    <row r="7" spans="1:21" ht="47.25" customHeight="1">
      <c r="A7" s="1111" t="s">
        <v>474</v>
      </c>
      <c r="B7" s="1103"/>
      <c r="C7" s="1112" t="s">
        <v>188</v>
      </c>
      <c r="D7" s="1113" t="s">
        <v>553</v>
      </c>
      <c r="E7" s="1106"/>
      <c r="F7" s="1107"/>
      <c r="G7" s="1114">
        <v>87043.21</v>
      </c>
      <c r="H7" s="1115">
        <f>SUM(E7:G7)</f>
        <v>87043.21</v>
      </c>
      <c r="I7" s="1106"/>
      <c r="J7" s="1107"/>
      <c r="K7" s="1114">
        <v>350000</v>
      </c>
      <c r="L7" s="1115">
        <f>SUM(I7:K7)</f>
        <v>350000</v>
      </c>
      <c r="M7" s="1106"/>
      <c r="N7" s="1107"/>
      <c r="O7" s="1114">
        <v>350000</v>
      </c>
      <c r="P7" s="1115">
        <f>SUM(M7:O7)</f>
        <v>350000</v>
      </c>
      <c r="Q7" s="1110">
        <f t="shared" ref="Q7:Q11" si="0">P7/H7*100</f>
        <v>402.0991413345165</v>
      </c>
      <c r="R7" s="209">
        <f>M7+N7+O7-P7</f>
        <v>0</v>
      </c>
      <c r="S7" s="293">
        <f>'Tekući grantovi 15'!F11</f>
        <v>350000</v>
      </c>
      <c r="T7" s="209">
        <f t="shared" ref="T7:T11" si="1">E7+F7+G7-H7</f>
        <v>0</v>
      </c>
    </row>
    <row r="8" spans="1:21" ht="47.25" customHeight="1">
      <c r="A8" s="1111" t="s">
        <v>474</v>
      </c>
      <c r="B8" s="1116"/>
      <c r="C8" s="1116" t="s">
        <v>195</v>
      </c>
      <c r="D8" s="1113" t="s">
        <v>553</v>
      </c>
      <c r="E8" s="1117">
        <v>96000</v>
      </c>
      <c r="F8" s="1118"/>
      <c r="G8" s="1114">
        <v>130517</v>
      </c>
      <c r="H8" s="1115">
        <f t="shared" ref="H8:H10" si="2">SUM(E8:G8)</f>
        <v>226517</v>
      </c>
      <c r="I8" s="1117">
        <v>500000</v>
      </c>
      <c r="J8" s="1118"/>
      <c r="K8" s="1114">
        <v>600000</v>
      </c>
      <c r="L8" s="1115">
        <f t="shared" ref="L8:L10" si="3">SUM(I8:K8)</f>
        <v>1100000</v>
      </c>
      <c r="M8" s="1117">
        <v>400000</v>
      </c>
      <c r="N8" s="1118"/>
      <c r="O8" s="1114">
        <v>200000</v>
      </c>
      <c r="P8" s="1115">
        <f t="shared" ref="P8:P10" si="4">SUM(M8:O8)</f>
        <v>600000</v>
      </c>
      <c r="Q8" s="1110">
        <f t="shared" si="0"/>
        <v>264.88078157489286</v>
      </c>
      <c r="R8" s="209">
        <f t="shared" ref="R8:R11" si="5">M8+N8+O8-P8</f>
        <v>0</v>
      </c>
      <c r="S8" s="209">
        <f>'[2]PRIH REBALANS'!$AJ$1054</f>
        <v>130517</v>
      </c>
      <c r="T8" s="209">
        <f t="shared" si="1"/>
        <v>0</v>
      </c>
    </row>
    <row r="9" spans="1:21" ht="47.25" customHeight="1">
      <c r="A9" s="1111" t="s">
        <v>474</v>
      </c>
      <c r="B9" s="1116"/>
      <c r="C9" s="1116" t="s">
        <v>404</v>
      </c>
      <c r="D9" s="1113" t="s">
        <v>1469</v>
      </c>
      <c r="E9" s="1117"/>
      <c r="F9" s="1118"/>
      <c r="G9" s="1114">
        <v>20000</v>
      </c>
      <c r="H9" s="1115">
        <f t="shared" si="2"/>
        <v>20000</v>
      </c>
      <c r="I9" s="1117"/>
      <c r="J9" s="1118"/>
      <c r="K9" s="1114">
        <v>20000</v>
      </c>
      <c r="L9" s="1115">
        <f t="shared" si="3"/>
        <v>20000</v>
      </c>
      <c r="M9" s="1117"/>
      <c r="N9" s="1118"/>
      <c r="O9" s="1114"/>
      <c r="P9" s="1115">
        <f t="shared" si="4"/>
        <v>0</v>
      </c>
      <c r="Q9" s="1110">
        <f t="shared" si="0"/>
        <v>0</v>
      </c>
      <c r="R9" s="209">
        <f t="shared" si="5"/>
        <v>0</v>
      </c>
      <c r="S9" s="209"/>
      <c r="T9" s="209"/>
    </row>
    <row r="10" spans="1:21" ht="50.25" customHeight="1">
      <c r="A10" s="1111" t="s">
        <v>337</v>
      </c>
      <c r="B10" s="1116"/>
      <c r="C10" s="1116" t="s">
        <v>195</v>
      </c>
      <c r="D10" s="1113" t="s">
        <v>555</v>
      </c>
      <c r="E10" s="1117"/>
      <c r="F10" s="1118"/>
      <c r="G10" s="1114"/>
      <c r="H10" s="1115">
        <f t="shared" si="2"/>
        <v>0</v>
      </c>
      <c r="I10" s="1117"/>
      <c r="J10" s="1118"/>
      <c r="K10" s="1114"/>
      <c r="L10" s="1115">
        <f t="shared" si="3"/>
        <v>0</v>
      </c>
      <c r="M10" s="1117"/>
      <c r="N10" s="1118"/>
      <c r="O10" s="1114">
        <v>20000</v>
      </c>
      <c r="P10" s="1115">
        <f t="shared" si="4"/>
        <v>20000</v>
      </c>
      <c r="Q10" s="1110"/>
      <c r="R10" s="209">
        <f t="shared" si="5"/>
        <v>0</v>
      </c>
      <c r="T10" s="209">
        <f t="shared" si="1"/>
        <v>0</v>
      </c>
    </row>
    <row r="11" spans="1:21" ht="39" customHeight="1" thickBot="1">
      <c r="A11" s="1119" t="s">
        <v>319</v>
      </c>
      <c r="B11" s="1120"/>
      <c r="C11" s="1120">
        <v>613991</v>
      </c>
      <c r="D11" s="1121" t="s">
        <v>556</v>
      </c>
      <c r="E11" s="1122">
        <v>20000</v>
      </c>
      <c r="F11" s="1123"/>
      <c r="G11" s="1124"/>
      <c r="H11" s="1125">
        <f>SUM(E11:G11)</f>
        <v>20000</v>
      </c>
      <c r="I11" s="1122">
        <v>100000</v>
      </c>
      <c r="J11" s="1123"/>
      <c r="K11" s="1124"/>
      <c r="L11" s="1125">
        <f>SUM(I11:K11)</f>
        <v>100000</v>
      </c>
      <c r="M11" s="1122">
        <v>70000</v>
      </c>
      <c r="N11" s="1123"/>
      <c r="O11" s="1124"/>
      <c r="P11" s="1125">
        <f>SUM(M11:O11)</f>
        <v>70000</v>
      </c>
      <c r="Q11" s="1110">
        <f t="shared" si="0"/>
        <v>350</v>
      </c>
      <c r="R11" s="209">
        <f t="shared" si="5"/>
        <v>0</v>
      </c>
      <c r="T11" s="209">
        <f t="shared" si="1"/>
        <v>0</v>
      </c>
    </row>
    <row r="12" spans="1:21" ht="15.75" thickTop="1"/>
  </sheetData>
  <mergeCells count="7">
    <mergeCell ref="E2:H2"/>
    <mergeCell ref="Q2:Q3"/>
    <mergeCell ref="A2:A3"/>
    <mergeCell ref="B2:B3"/>
    <mergeCell ref="C2:C3"/>
    <mergeCell ref="D2:D3"/>
    <mergeCell ref="M2:P2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&amp;L&amp;"Times New Roman,Uobičajeno"&amp;14&amp;K00-021Budžet  Grada Mostara za 2022
.godinu- Služba za podršku biznisa
&amp;C&amp;"Times New Roman,Uobičajeno"&amp;14&amp;P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3"/>
  <dimension ref="A1:N37"/>
  <sheetViews>
    <sheetView view="pageBreakPreview" topLeftCell="A16" zoomScale="75" zoomScaleSheetLayoutView="75" workbookViewId="0">
      <selection activeCell="I3" sqref="I3"/>
    </sheetView>
  </sheetViews>
  <sheetFormatPr defaultRowHeight="15.75"/>
  <cols>
    <col min="1" max="2" width="8.85546875" style="6"/>
    <col min="3" max="3" width="52.140625" style="6" customWidth="1"/>
    <col min="4" max="4" width="14.7109375" style="245" customWidth="1"/>
    <col min="5" max="5" width="13.140625" style="245" customWidth="1"/>
    <col min="6" max="9" width="13.140625" customWidth="1"/>
    <col min="10" max="10" width="14.28515625" customWidth="1"/>
    <col min="11" max="11" width="13.140625" customWidth="1"/>
    <col min="12" max="12" width="13.140625" style="245" customWidth="1"/>
    <col min="13" max="13" width="13.140625" customWidth="1"/>
  </cols>
  <sheetData>
    <row r="1" spans="1:14" ht="47.25" customHeight="1" thickBot="1">
      <c r="A1" s="381"/>
      <c r="B1" s="381"/>
      <c r="C1" s="570" t="s">
        <v>1347</v>
      </c>
      <c r="D1" s="571"/>
      <c r="F1" s="381"/>
      <c r="G1" s="381"/>
      <c r="H1" s="381"/>
      <c r="I1" s="381"/>
      <c r="J1" s="381"/>
      <c r="L1" s="571" t="s">
        <v>1348</v>
      </c>
    </row>
    <row r="2" spans="1:14" ht="90" customHeight="1" thickTop="1">
      <c r="A2" s="378" t="s">
        <v>0</v>
      </c>
      <c r="B2" s="564"/>
      <c r="C2" s="565" t="s">
        <v>48</v>
      </c>
      <c r="D2" s="379" t="s">
        <v>629</v>
      </c>
      <c r="E2" s="380" t="s">
        <v>1314</v>
      </c>
      <c r="F2" s="448" t="s">
        <v>53</v>
      </c>
      <c r="G2" s="1354" t="s">
        <v>629</v>
      </c>
      <c r="H2" s="1355" t="s">
        <v>1661</v>
      </c>
      <c r="I2" s="1718" t="s">
        <v>53</v>
      </c>
      <c r="J2" s="1568" t="s">
        <v>629</v>
      </c>
      <c r="K2" s="1569" t="s">
        <v>1713</v>
      </c>
      <c r="L2" s="1570" t="s">
        <v>1674</v>
      </c>
      <c r="M2" s="448" t="s">
        <v>53</v>
      </c>
    </row>
    <row r="3" spans="1:14" ht="28.9" customHeight="1">
      <c r="A3" s="567"/>
      <c r="B3" s="568"/>
      <c r="C3" s="569"/>
      <c r="D3" s="498">
        <v>1</v>
      </c>
      <c r="E3" s="494">
        <v>2</v>
      </c>
      <c r="F3" s="566" t="s">
        <v>1666</v>
      </c>
      <c r="G3" s="498">
        <v>4</v>
      </c>
      <c r="H3" s="494">
        <v>5</v>
      </c>
      <c r="I3" s="1500"/>
      <c r="J3" s="1720"/>
      <c r="K3" s="1710"/>
      <c r="L3" s="1711"/>
      <c r="M3" s="566"/>
    </row>
    <row r="4" spans="1:14" ht="28.9" customHeight="1">
      <c r="A4" s="567"/>
      <c r="B4" s="568"/>
      <c r="C4" s="569" t="s">
        <v>1269</v>
      </c>
      <c r="D4" s="498"/>
      <c r="E4" s="494"/>
      <c r="F4" s="566"/>
      <c r="G4" s="498"/>
      <c r="H4" s="494"/>
      <c r="I4" s="1500"/>
      <c r="J4" s="1720"/>
      <c r="K4" s="1710"/>
      <c r="L4" s="1711"/>
      <c r="M4" s="566"/>
    </row>
    <row r="5" spans="1:14" ht="33.75" customHeight="1">
      <c r="A5" s="586">
        <v>1</v>
      </c>
      <c r="B5" s="593"/>
      <c r="C5" s="594" t="s">
        <v>1270</v>
      </c>
      <c r="D5" s="595">
        <f>D6+D28+D29+D26+D27</f>
        <v>350751.19</v>
      </c>
      <c r="E5" s="596">
        <f t="shared" ref="E5" si="0">E6</f>
        <v>400000</v>
      </c>
      <c r="F5" s="597">
        <f>SUM(F6,F26:F29)</f>
        <v>750751.19000000006</v>
      </c>
      <c r="G5" s="595">
        <f>G6+G28+G29+G26+G27</f>
        <v>0</v>
      </c>
      <c r="H5" s="596">
        <f t="shared" ref="H5" si="1">H6</f>
        <v>400000</v>
      </c>
      <c r="I5" s="1501">
        <f>SUM(I6,I26:I29)</f>
        <v>400000</v>
      </c>
      <c r="J5" s="1721"/>
      <c r="K5" s="1712">
        <f>K6+K28+K29+K26+K27</f>
        <v>400000</v>
      </c>
      <c r="L5" s="1713">
        <f t="shared" ref="L5" si="2">L6</f>
        <v>95000</v>
      </c>
      <c r="M5" s="597">
        <f>SUM(M6,M26:M29)</f>
        <v>495000</v>
      </c>
      <c r="N5" s="209">
        <f>'[1]PRIH REBALANS'!$AK$1145</f>
        <v>495000</v>
      </c>
    </row>
    <row r="6" spans="1:14" ht="52.5" customHeight="1">
      <c r="A6" s="586">
        <v>2</v>
      </c>
      <c r="B6" s="593"/>
      <c r="C6" s="594" t="s">
        <v>630</v>
      </c>
      <c r="D6" s="595">
        <f t="shared" ref="D6:I6" si="3">SUM(D7:D25)</f>
        <v>276631.19</v>
      </c>
      <c r="E6" s="596">
        <f t="shared" si="3"/>
        <v>400000</v>
      </c>
      <c r="F6" s="597">
        <f t="shared" si="3"/>
        <v>676631.19000000006</v>
      </c>
      <c r="G6" s="595">
        <f t="shared" si="3"/>
        <v>0</v>
      </c>
      <c r="H6" s="596">
        <f t="shared" si="3"/>
        <v>400000</v>
      </c>
      <c r="I6" s="1501">
        <f t="shared" si="3"/>
        <v>400000</v>
      </c>
      <c r="J6" s="1721"/>
      <c r="K6" s="1712">
        <f>SUM(K7:K25)</f>
        <v>400000</v>
      </c>
      <c r="L6" s="1713">
        <f>SUM(L7:L25)</f>
        <v>95000</v>
      </c>
      <c r="M6" s="597">
        <f>SUM(M7:M25)</f>
        <v>495000</v>
      </c>
      <c r="N6" s="209">
        <f>'[11]PRIH REBALANS'!$AH$1143</f>
        <v>400000</v>
      </c>
    </row>
    <row r="7" spans="1:14" ht="42" customHeight="1">
      <c r="A7" s="586">
        <v>3</v>
      </c>
      <c r="B7" s="593"/>
      <c r="C7" s="598" t="s">
        <v>638</v>
      </c>
      <c r="D7" s="595"/>
      <c r="E7" s="600">
        <v>160000</v>
      </c>
      <c r="F7" s="599">
        <f>SUM(D7:E7)</f>
        <v>160000</v>
      </c>
      <c r="G7" s="595"/>
      <c r="H7" s="600">
        <v>160000</v>
      </c>
      <c r="I7" s="1502">
        <f>SUM(G7:H7)</f>
        <v>160000</v>
      </c>
      <c r="J7" s="1722"/>
      <c r="K7" s="1714">
        <v>60000</v>
      </c>
      <c r="L7" s="2390"/>
      <c r="M7" s="599">
        <f>SUM(K7:L7)</f>
        <v>60000</v>
      </c>
      <c r="N7" s="209">
        <f>K6-N6</f>
        <v>0</v>
      </c>
    </row>
    <row r="8" spans="1:14" ht="77.45" customHeight="1">
      <c r="A8" s="586">
        <v>4</v>
      </c>
      <c r="B8" s="593"/>
      <c r="C8" s="598" t="s">
        <v>639</v>
      </c>
      <c r="D8" s="595"/>
      <c r="E8" s="600">
        <v>35000</v>
      </c>
      <c r="F8" s="599">
        <f t="shared" ref="F8:F25" si="4">SUM(D8:E8)</f>
        <v>35000</v>
      </c>
      <c r="G8" s="595"/>
      <c r="H8" s="600">
        <v>35000</v>
      </c>
      <c r="I8" s="1502">
        <f t="shared" ref="I8:I29" si="5">SUM(G8:H8)</f>
        <v>35000</v>
      </c>
      <c r="J8" s="1722"/>
      <c r="K8" s="1714"/>
      <c r="L8" s="2390"/>
      <c r="M8" s="599">
        <f t="shared" ref="M8:M24" si="6">SUM(K8:L8)</f>
        <v>0</v>
      </c>
      <c r="N8" s="209">
        <f>K13-N7</f>
        <v>0</v>
      </c>
    </row>
    <row r="9" spans="1:14" ht="44.25" customHeight="1">
      <c r="A9" s="586">
        <v>5</v>
      </c>
      <c r="B9" s="593"/>
      <c r="C9" s="598" t="s">
        <v>640</v>
      </c>
      <c r="D9" s="595"/>
      <c r="E9" s="600">
        <v>15000</v>
      </c>
      <c r="F9" s="599">
        <f t="shared" si="4"/>
        <v>15000</v>
      </c>
      <c r="G9" s="595"/>
      <c r="H9" s="600">
        <v>15000</v>
      </c>
      <c r="I9" s="1502">
        <f t="shared" si="5"/>
        <v>15000</v>
      </c>
      <c r="J9" s="1722"/>
      <c r="K9" s="1714"/>
      <c r="L9" s="2390"/>
      <c r="M9" s="599">
        <f t="shared" si="6"/>
        <v>0</v>
      </c>
    </row>
    <row r="10" spans="1:14" ht="41.25" customHeight="1">
      <c r="A10" s="586">
        <v>6</v>
      </c>
      <c r="B10" s="593"/>
      <c r="C10" s="598" t="s">
        <v>641</v>
      </c>
      <c r="D10" s="595"/>
      <c r="E10" s="600">
        <v>20000</v>
      </c>
      <c r="F10" s="599">
        <f t="shared" si="4"/>
        <v>20000</v>
      </c>
      <c r="G10" s="595"/>
      <c r="H10" s="600">
        <v>20000</v>
      </c>
      <c r="I10" s="1502">
        <f t="shared" si="5"/>
        <v>20000</v>
      </c>
      <c r="J10" s="1722"/>
      <c r="K10" s="1714"/>
      <c r="L10" s="2390"/>
      <c r="M10" s="599">
        <f t="shared" si="6"/>
        <v>0</v>
      </c>
    </row>
    <row r="11" spans="1:14" ht="39.75" customHeight="1">
      <c r="A11" s="586">
        <v>7</v>
      </c>
      <c r="B11" s="587"/>
      <c r="C11" s="601" t="s">
        <v>642</v>
      </c>
      <c r="D11" s="589"/>
      <c r="E11" s="602">
        <v>10000</v>
      </c>
      <c r="F11" s="599">
        <f t="shared" si="4"/>
        <v>10000</v>
      </c>
      <c r="G11" s="589"/>
      <c r="H11" s="602">
        <v>10000</v>
      </c>
      <c r="I11" s="1502">
        <f t="shared" si="5"/>
        <v>10000</v>
      </c>
      <c r="J11" s="1722"/>
      <c r="K11" s="1714"/>
      <c r="L11" s="2390"/>
      <c r="M11" s="599">
        <f t="shared" si="6"/>
        <v>0</v>
      </c>
    </row>
    <row r="12" spans="1:14" ht="38.25" customHeight="1">
      <c r="A12" s="586">
        <v>8</v>
      </c>
      <c r="B12" s="587"/>
      <c r="C12" s="601" t="s">
        <v>643</v>
      </c>
      <c r="D12" s="589"/>
      <c r="E12" s="602">
        <v>20000</v>
      </c>
      <c r="F12" s="599">
        <f t="shared" si="4"/>
        <v>20000</v>
      </c>
      <c r="G12" s="589"/>
      <c r="H12" s="602">
        <v>20000</v>
      </c>
      <c r="I12" s="1502">
        <f t="shared" si="5"/>
        <v>20000</v>
      </c>
      <c r="J12" s="1722"/>
      <c r="K12" s="1714"/>
      <c r="L12" s="2390"/>
      <c r="M12" s="599">
        <f t="shared" si="6"/>
        <v>0</v>
      </c>
    </row>
    <row r="13" spans="1:14" ht="41.25" customHeight="1">
      <c r="A13" s="586">
        <v>9</v>
      </c>
      <c r="B13" s="587"/>
      <c r="C13" s="601" t="s">
        <v>644</v>
      </c>
      <c r="D13" s="589"/>
      <c r="E13" s="602">
        <v>70000</v>
      </c>
      <c r="F13" s="599">
        <f t="shared" si="4"/>
        <v>70000</v>
      </c>
      <c r="G13" s="589"/>
      <c r="H13" s="602">
        <v>70000</v>
      </c>
      <c r="I13" s="1502">
        <f t="shared" si="5"/>
        <v>70000</v>
      </c>
      <c r="J13" s="1722"/>
      <c r="K13" s="1714"/>
      <c r="L13" s="2390"/>
      <c r="M13" s="599">
        <f t="shared" si="6"/>
        <v>0</v>
      </c>
    </row>
    <row r="14" spans="1:14" ht="39.75" customHeight="1">
      <c r="A14" s="586">
        <v>10</v>
      </c>
      <c r="B14" s="587"/>
      <c r="C14" s="603" t="s">
        <v>645</v>
      </c>
      <c r="D14" s="589"/>
      <c r="E14" s="592">
        <v>30000</v>
      </c>
      <c r="F14" s="599">
        <f t="shared" si="4"/>
        <v>30000</v>
      </c>
      <c r="G14" s="589"/>
      <c r="H14" s="592">
        <v>30000</v>
      </c>
      <c r="I14" s="1502">
        <f t="shared" si="5"/>
        <v>30000</v>
      </c>
      <c r="J14" s="1722"/>
      <c r="K14" s="1715"/>
      <c r="L14" s="2391"/>
      <c r="M14" s="599">
        <f t="shared" si="6"/>
        <v>0</v>
      </c>
    </row>
    <row r="15" spans="1:14" s="335" customFormat="1" ht="39.75" customHeight="1">
      <c r="A15" s="586">
        <v>11</v>
      </c>
      <c r="B15" s="587"/>
      <c r="C15" s="1036" t="s">
        <v>1324</v>
      </c>
      <c r="D15" s="589"/>
      <c r="E15" s="1037">
        <v>40000</v>
      </c>
      <c r="F15" s="599">
        <f t="shared" si="4"/>
        <v>40000</v>
      </c>
      <c r="G15" s="589"/>
      <c r="H15" s="1037">
        <v>40000</v>
      </c>
      <c r="I15" s="1502">
        <f t="shared" si="5"/>
        <v>40000</v>
      </c>
      <c r="J15" s="1722"/>
      <c r="K15" s="1714"/>
      <c r="L15" s="2391"/>
      <c r="M15" s="599">
        <f t="shared" si="6"/>
        <v>0</v>
      </c>
    </row>
    <row r="16" spans="1:14" ht="45.75" customHeight="1">
      <c r="A16" s="586">
        <v>12</v>
      </c>
      <c r="B16" s="587"/>
      <c r="C16" s="588" t="s">
        <v>1072</v>
      </c>
      <c r="D16" s="590">
        <v>160640.66</v>
      </c>
      <c r="E16" s="592"/>
      <c r="F16" s="599">
        <f t="shared" si="4"/>
        <v>160640.66</v>
      </c>
      <c r="G16" s="590"/>
      <c r="H16" s="592"/>
      <c r="I16" s="1502">
        <f t="shared" si="5"/>
        <v>0</v>
      </c>
      <c r="J16" s="1722"/>
      <c r="K16" s="1714"/>
      <c r="L16" s="2391"/>
      <c r="M16" s="599">
        <f t="shared" si="6"/>
        <v>0</v>
      </c>
    </row>
    <row r="17" spans="1:13" ht="72.75" customHeight="1">
      <c r="A17" s="586">
        <v>13</v>
      </c>
      <c r="B17" s="587"/>
      <c r="C17" s="588" t="s">
        <v>1073</v>
      </c>
      <c r="D17" s="590">
        <v>7020</v>
      </c>
      <c r="E17" s="592"/>
      <c r="F17" s="599">
        <f t="shared" si="4"/>
        <v>7020</v>
      </c>
      <c r="G17" s="590"/>
      <c r="H17" s="592"/>
      <c r="I17" s="1502">
        <f t="shared" si="5"/>
        <v>0</v>
      </c>
      <c r="J17" s="1722"/>
      <c r="K17" s="1714"/>
      <c r="L17" s="2391"/>
      <c r="M17" s="599">
        <f t="shared" si="6"/>
        <v>0</v>
      </c>
    </row>
    <row r="18" spans="1:13" ht="72.75" customHeight="1">
      <c r="A18" s="586">
        <v>14</v>
      </c>
      <c r="B18" s="2393"/>
      <c r="C18" s="2394" t="s">
        <v>1709</v>
      </c>
      <c r="D18" s="1724"/>
      <c r="E18" s="2391"/>
      <c r="F18" s="2395"/>
      <c r="G18" s="1724"/>
      <c r="H18" s="2391"/>
      <c r="I18" s="1502"/>
      <c r="J18" s="1722"/>
      <c r="K18" s="1714">
        <v>70000</v>
      </c>
      <c r="L18" s="2391"/>
      <c r="M18" s="599">
        <f t="shared" si="6"/>
        <v>70000</v>
      </c>
    </row>
    <row r="19" spans="1:13" ht="72.75" customHeight="1">
      <c r="A19" s="586">
        <v>15</v>
      </c>
      <c r="B19" s="2393"/>
      <c r="C19" s="2394" t="s">
        <v>1708</v>
      </c>
      <c r="D19" s="1724"/>
      <c r="E19" s="2391"/>
      <c r="F19" s="2395"/>
      <c r="G19" s="1724"/>
      <c r="H19" s="2391"/>
      <c r="I19" s="1502"/>
      <c r="J19" s="1722"/>
      <c r="K19" s="1714">
        <v>80000</v>
      </c>
      <c r="L19" s="2391"/>
      <c r="M19" s="599">
        <f t="shared" si="6"/>
        <v>80000</v>
      </c>
    </row>
    <row r="20" spans="1:13" ht="72.75" customHeight="1">
      <c r="A20" s="586">
        <v>16</v>
      </c>
      <c r="B20" s="2393"/>
      <c r="C20" s="2394" t="s">
        <v>1707</v>
      </c>
      <c r="D20" s="1724"/>
      <c r="E20" s="2391"/>
      <c r="F20" s="2395"/>
      <c r="G20" s="1724"/>
      <c r="H20" s="2391"/>
      <c r="I20" s="1502"/>
      <c r="J20" s="1722"/>
      <c r="K20" s="1714">
        <v>20000</v>
      </c>
      <c r="L20" s="2391"/>
      <c r="M20" s="599">
        <f t="shared" si="6"/>
        <v>20000</v>
      </c>
    </row>
    <row r="21" spans="1:13" ht="72.75" customHeight="1">
      <c r="A21" s="586">
        <v>17</v>
      </c>
      <c r="B21" s="2393"/>
      <c r="C21" s="2394" t="s">
        <v>1706</v>
      </c>
      <c r="D21" s="1724"/>
      <c r="E21" s="2391"/>
      <c r="F21" s="2395"/>
      <c r="G21" s="1724"/>
      <c r="H21" s="2391"/>
      <c r="I21" s="1502"/>
      <c r="J21" s="1722"/>
      <c r="K21" s="1714">
        <v>25000</v>
      </c>
      <c r="L21" s="2391"/>
      <c r="M21" s="599">
        <f t="shared" si="6"/>
        <v>25000</v>
      </c>
    </row>
    <row r="22" spans="1:13" ht="63.75" customHeight="1">
      <c r="A22" s="586">
        <v>18</v>
      </c>
      <c r="B22" s="587"/>
      <c r="C22" s="588" t="s">
        <v>1074</v>
      </c>
      <c r="D22" s="590">
        <v>23166</v>
      </c>
      <c r="E22" s="592"/>
      <c r="F22" s="599">
        <f t="shared" si="4"/>
        <v>23166</v>
      </c>
      <c r="G22" s="590"/>
      <c r="H22" s="592"/>
      <c r="I22" s="1502">
        <f t="shared" si="5"/>
        <v>0</v>
      </c>
      <c r="J22" s="1722"/>
      <c r="K22" s="1714">
        <v>65000</v>
      </c>
      <c r="L22" s="2391">
        <v>80000</v>
      </c>
      <c r="M22" s="599">
        <f t="shared" si="6"/>
        <v>145000</v>
      </c>
    </row>
    <row r="23" spans="1:13" ht="77.25" customHeight="1">
      <c r="A23" s="586">
        <v>19</v>
      </c>
      <c r="B23" s="587"/>
      <c r="C23" s="588" t="s">
        <v>1075</v>
      </c>
      <c r="D23" s="590">
        <v>2808</v>
      </c>
      <c r="E23" s="592"/>
      <c r="F23" s="599">
        <f t="shared" si="4"/>
        <v>2808</v>
      </c>
      <c r="G23" s="590"/>
      <c r="H23" s="592"/>
      <c r="I23" s="1502">
        <f t="shared" si="5"/>
        <v>0</v>
      </c>
      <c r="J23" s="1722"/>
      <c r="K23" s="1714"/>
      <c r="L23" s="2391"/>
      <c r="M23" s="599">
        <f t="shared" si="6"/>
        <v>0</v>
      </c>
    </row>
    <row r="24" spans="1:13" ht="44.25" customHeight="1">
      <c r="A24" s="586">
        <v>20</v>
      </c>
      <c r="B24" s="587"/>
      <c r="C24" s="588" t="s">
        <v>1225</v>
      </c>
      <c r="D24" s="590">
        <v>57000</v>
      </c>
      <c r="E24" s="592"/>
      <c r="F24" s="599">
        <f t="shared" si="4"/>
        <v>57000</v>
      </c>
      <c r="G24" s="590"/>
      <c r="H24" s="592"/>
      <c r="I24" s="1502">
        <f t="shared" si="5"/>
        <v>0</v>
      </c>
      <c r="J24" s="1722"/>
      <c r="K24" s="1714">
        <v>80000</v>
      </c>
      <c r="L24" s="2391">
        <v>15000</v>
      </c>
      <c r="M24" s="599">
        <f t="shared" si="6"/>
        <v>95000</v>
      </c>
    </row>
    <row r="25" spans="1:13" ht="62.25" customHeight="1">
      <c r="A25" s="586">
        <v>21</v>
      </c>
      <c r="B25" s="587"/>
      <c r="C25" s="588" t="s">
        <v>1076</v>
      </c>
      <c r="D25" s="590">
        <v>25996.53</v>
      </c>
      <c r="E25" s="592"/>
      <c r="F25" s="599">
        <f t="shared" si="4"/>
        <v>25996.53</v>
      </c>
      <c r="G25" s="590"/>
      <c r="H25" s="592"/>
      <c r="I25" s="1502">
        <f t="shared" si="5"/>
        <v>0</v>
      </c>
      <c r="J25" s="1722"/>
      <c r="K25" s="1714"/>
      <c r="L25" s="2391"/>
      <c r="M25" s="599">
        <f t="shared" ref="M25:M29" si="7">SUM(K25:L25)</f>
        <v>0</v>
      </c>
    </row>
    <row r="26" spans="1:13" s="495" customFormat="1" ht="62.25" customHeight="1">
      <c r="A26" s="586">
        <v>22</v>
      </c>
      <c r="B26" s="604"/>
      <c r="C26" s="1095" t="s">
        <v>633</v>
      </c>
      <c r="D26" s="589">
        <v>50000</v>
      </c>
      <c r="E26" s="1096"/>
      <c r="F26" s="1097">
        <f t="shared" ref="F26:F29" si="8">SUM(D26:E26)</f>
        <v>50000</v>
      </c>
      <c r="G26" s="589"/>
      <c r="H26" s="1096"/>
      <c r="I26" s="1503">
        <f t="shared" si="5"/>
        <v>0</v>
      </c>
      <c r="J26" s="1723"/>
      <c r="K26" s="1714"/>
      <c r="L26" s="2391"/>
      <c r="M26" s="1097">
        <f t="shared" si="7"/>
        <v>0</v>
      </c>
    </row>
    <row r="27" spans="1:13" s="495" customFormat="1" ht="62.25" customHeight="1">
      <c r="A27" s="586">
        <v>23</v>
      </c>
      <c r="B27" s="604"/>
      <c r="C27" s="1095" t="s">
        <v>1459</v>
      </c>
      <c r="D27" s="589">
        <v>15000</v>
      </c>
      <c r="E27" s="1096"/>
      <c r="F27" s="1097">
        <f t="shared" si="8"/>
        <v>15000</v>
      </c>
      <c r="G27" s="589"/>
      <c r="H27" s="1096"/>
      <c r="I27" s="1503">
        <f t="shared" si="5"/>
        <v>0</v>
      </c>
      <c r="J27" s="1723"/>
      <c r="K27" s="1714"/>
      <c r="L27" s="2391"/>
      <c r="M27" s="1097">
        <f t="shared" si="7"/>
        <v>0</v>
      </c>
    </row>
    <row r="28" spans="1:13" ht="38.25" customHeight="1">
      <c r="A28" s="586">
        <v>24</v>
      </c>
      <c r="B28" s="604"/>
      <c r="C28" s="605" t="s">
        <v>636</v>
      </c>
      <c r="D28" s="589">
        <v>9041</v>
      </c>
      <c r="E28" s="441"/>
      <c r="F28" s="591">
        <f t="shared" si="8"/>
        <v>9041</v>
      </c>
      <c r="G28" s="589"/>
      <c r="H28" s="441"/>
      <c r="I28" s="1504">
        <f t="shared" si="5"/>
        <v>0</v>
      </c>
      <c r="J28" s="1724"/>
      <c r="K28" s="1715"/>
      <c r="L28" s="1499"/>
      <c r="M28" s="591">
        <f t="shared" si="7"/>
        <v>0</v>
      </c>
    </row>
    <row r="29" spans="1:13" ht="78.75" customHeight="1" thickBot="1">
      <c r="A29" s="423">
        <v>25</v>
      </c>
      <c r="B29" s="606"/>
      <c r="C29" s="607" t="s">
        <v>637</v>
      </c>
      <c r="D29" s="608">
        <v>79</v>
      </c>
      <c r="E29" s="400"/>
      <c r="F29" s="609">
        <f t="shared" si="8"/>
        <v>79</v>
      </c>
      <c r="G29" s="608"/>
      <c r="H29" s="400"/>
      <c r="I29" s="1719">
        <f t="shared" si="5"/>
        <v>0</v>
      </c>
      <c r="J29" s="1725"/>
      <c r="K29" s="1716"/>
      <c r="L29" s="1717"/>
      <c r="M29" s="609">
        <f t="shared" si="7"/>
        <v>0</v>
      </c>
    </row>
    <row r="30" spans="1:13" ht="19.5" thickTop="1">
      <c r="H30" s="1444"/>
      <c r="I30" s="1444"/>
      <c r="J30" s="1444"/>
      <c r="K30" s="1726"/>
      <c r="L30" s="1727"/>
      <c r="M30" s="1444"/>
    </row>
    <row r="31" spans="1:13" ht="18.75">
      <c r="H31" s="325"/>
      <c r="I31" s="325"/>
      <c r="J31" s="325"/>
      <c r="K31" s="1728"/>
      <c r="L31" s="1728"/>
      <c r="M31" s="325"/>
    </row>
    <row r="32" spans="1:13" ht="18.75">
      <c r="H32" s="325"/>
      <c r="I32" s="325"/>
      <c r="J32" s="325"/>
      <c r="K32" s="1728"/>
      <c r="L32" s="435"/>
      <c r="M32" s="325"/>
    </row>
    <row r="33" spans="8:13" ht="18.75">
      <c r="H33" s="325"/>
      <c r="I33" s="325"/>
      <c r="J33" s="325"/>
      <c r="K33" s="1728"/>
      <c r="L33" s="435"/>
      <c r="M33" s="325"/>
    </row>
    <row r="34" spans="8:13">
      <c r="H34" s="325"/>
      <c r="I34" s="325"/>
      <c r="J34" s="325"/>
      <c r="K34" s="325"/>
      <c r="L34" s="2392"/>
      <c r="M34" s="325"/>
    </row>
    <row r="35" spans="8:13">
      <c r="H35" s="325"/>
      <c r="I35" s="325"/>
      <c r="J35" s="325"/>
      <c r="K35" s="325"/>
      <c r="L35" s="2392"/>
      <c r="M35" s="325"/>
    </row>
    <row r="36" spans="8:13">
      <c r="H36" s="325"/>
      <c r="I36" s="325"/>
      <c r="J36" s="325"/>
      <c r="K36" s="325"/>
      <c r="L36" s="2392"/>
      <c r="M36" s="325"/>
    </row>
    <row r="37" spans="8:13">
      <c r="H37" s="325"/>
      <c r="I37" s="325"/>
      <c r="J37" s="325"/>
      <c r="K37" s="325"/>
      <c r="L37" s="2392"/>
      <c r="M37" s="325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&amp;L&amp;14&amp;K00-022Budžet  Grada Mostara za 2022.godinu Agencija stari Grad&amp;C&amp;14&amp;P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74"/>
  <sheetViews>
    <sheetView topLeftCell="A31" workbookViewId="0">
      <selection activeCell="A65" sqref="A65:D73"/>
    </sheetView>
  </sheetViews>
  <sheetFormatPr defaultRowHeight="15.75"/>
  <cols>
    <col min="1" max="1" width="30.42578125" style="1041" customWidth="1"/>
    <col min="2" max="2" width="11.7109375" style="433" customWidth="1"/>
    <col min="3" max="3" width="14.28515625" style="433" customWidth="1"/>
    <col min="4" max="4" width="12.140625" style="433" customWidth="1"/>
  </cols>
  <sheetData>
    <row r="1" spans="1:4" ht="18" customHeight="1" thickTop="1" thickBot="1">
      <c r="A1" s="3474" t="s">
        <v>181</v>
      </c>
      <c r="B1" s="3475"/>
      <c r="C1" s="3475"/>
      <c r="D1" s="3476"/>
    </row>
    <row r="2" spans="1:4" ht="32.25" thickTop="1">
      <c r="A2" s="1076" t="s">
        <v>1</v>
      </c>
      <c r="B2" s="886" t="s">
        <v>1343</v>
      </c>
      <c r="C2" s="886" t="s">
        <v>1626</v>
      </c>
      <c r="D2" s="1073" t="s">
        <v>606</v>
      </c>
    </row>
    <row r="3" spans="1:4">
      <c r="A3" s="1054"/>
      <c r="B3" s="988">
        <v>1</v>
      </c>
      <c r="C3" s="988">
        <v>2</v>
      </c>
      <c r="D3" s="1074" t="s">
        <v>1492</v>
      </c>
    </row>
    <row r="4" spans="1:4">
      <c r="A4" s="1054"/>
      <c r="B4" s="988"/>
      <c r="C4" s="988"/>
      <c r="D4" s="1074"/>
    </row>
    <row r="5" spans="1:4">
      <c r="A5" s="1055" t="s">
        <v>207</v>
      </c>
      <c r="B5" s="1052">
        <f>SUM(B6)</f>
        <v>8817</v>
      </c>
      <c r="C5" s="1052">
        <f>SUM(C6)</f>
        <v>0</v>
      </c>
      <c r="D5" s="1056">
        <f>SUM(D6:D9)</f>
        <v>336997</v>
      </c>
    </row>
    <row r="6" spans="1:4">
      <c r="A6" s="1057" t="s">
        <v>240</v>
      </c>
      <c r="B6" s="1045">
        <v>8817</v>
      </c>
      <c r="C6" s="1046"/>
      <c r="D6" s="1058">
        <f>B6+C6</f>
        <v>8817</v>
      </c>
    </row>
    <row r="7" spans="1:4" ht="54" customHeight="1">
      <c r="A7" s="1059" t="s">
        <v>270</v>
      </c>
      <c r="B7" s="1053">
        <f>SUM(B8:B9)</f>
        <v>0</v>
      </c>
      <c r="C7" s="1053">
        <f>SUM(C8:C9)</f>
        <v>164090</v>
      </c>
      <c r="D7" s="1060">
        <f>D8+D9</f>
        <v>164090</v>
      </c>
    </row>
    <row r="8" spans="1:4">
      <c r="A8" s="1057" t="s">
        <v>1613</v>
      </c>
      <c r="B8" s="1046"/>
      <c r="C8" s="1046">
        <v>39090</v>
      </c>
      <c r="D8" s="1058">
        <f>B8+C8</f>
        <v>39090</v>
      </c>
    </row>
    <row r="9" spans="1:4">
      <c r="A9" s="1057" t="s">
        <v>1137</v>
      </c>
      <c r="B9" s="1046"/>
      <c r="C9" s="1046">
        <v>125000</v>
      </c>
      <c r="D9" s="1058">
        <f>B9+C9</f>
        <v>125000</v>
      </c>
    </row>
    <row r="10" spans="1:4" ht="31.5">
      <c r="A10" s="1061" t="s">
        <v>1614</v>
      </c>
      <c r="B10" s="1050">
        <f>B11+B20+B22</f>
        <v>123144</v>
      </c>
      <c r="C10" s="1050">
        <f>C11+C20+C22</f>
        <v>706060</v>
      </c>
      <c r="D10" s="1062">
        <f>D11+D20+D22</f>
        <v>829204</v>
      </c>
    </row>
    <row r="11" spans="1:4">
      <c r="A11" s="1063" t="s">
        <v>328</v>
      </c>
      <c r="B11" s="1051">
        <f>SUM(B12:B19)</f>
        <v>63005</v>
      </c>
      <c r="C11" s="1051">
        <f>SUM(C12:C19)</f>
        <v>206000</v>
      </c>
      <c r="D11" s="1064">
        <f>SUM(D12:D19)</f>
        <v>269005</v>
      </c>
    </row>
    <row r="12" spans="1:4" ht="47.25">
      <c r="A12" s="1065" t="s">
        <v>333</v>
      </c>
      <c r="B12" s="1047"/>
      <c r="C12" s="989">
        <v>20000</v>
      </c>
      <c r="D12" s="1066">
        <f>SUM(B12:C12)</f>
        <v>20000</v>
      </c>
    </row>
    <row r="13" spans="1:4" ht="31.5">
      <c r="A13" s="1067" t="s">
        <v>334</v>
      </c>
      <c r="B13" s="1047"/>
      <c r="C13" s="989">
        <v>20000</v>
      </c>
      <c r="D13" s="1066">
        <f t="shared" ref="D13:D19" si="0">SUM(B13:C13)</f>
        <v>20000</v>
      </c>
    </row>
    <row r="14" spans="1:4" ht="31.5">
      <c r="A14" s="1068" t="s">
        <v>338</v>
      </c>
      <c r="B14" s="1047">
        <v>10000</v>
      </c>
      <c r="C14" s="1047"/>
      <c r="D14" s="1066">
        <f t="shared" si="0"/>
        <v>10000</v>
      </c>
    </row>
    <row r="15" spans="1:4" ht="31.5">
      <c r="A15" s="1068" t="s">
        <v>340</v>
      </c>
      <c r="B15" s="1047"/>
      <c r="C15" s="1047">
        <v>150000</v>
      </c>
      <c r="D15" s="1066">
        <f t="shared" si="0"/>
        <v>150000</v>
      </c>
    </row>
    <row r="16" spans="1:4" ht="47.25">
      <c r="A16" s="1065" t="s">
        <v>341</v>
      </c>
      <c r="B16" s="1044">
        <v>30000</v>
      </c>
      <c r="C16" s="1047"/>
      <c r="D16" s="1066">
        <f t="shared" si="0"/>
        <v>30000</v>
      </c>
    </row>
    <row r="17" spans="1:4" ht="31.5">
      <c r="A17" s="1065" t="s">
        <v>342</v>
      </c>
      <c r="B17" s="1044">
        <v>10005</v>
      </c>
      <c r="C17" s="1047"/>
      <c r="D17" s="1066">
        <f t="shared" si="0"/>
        <v>10005</v>
      </c>
    </row>
    <row r="18" spans="1:4">
      <c r="A18" s="1067" t="s">
        <v>356</v>
      </c>
      <c r="B18" s="1044">
        <v>5000</v>
      </c>
      <c r="C18" s="1044"/>
      <c r="D18" s="1066">
        <f t="shared" si="0"/>
        <v>5000</v>
      </c>
    </row>
    <row r="19" spans="1:4" ht="31.5">
      <c r="A19" s="1067" t="s">
        <v>357</v>
      </c>
      <c r="B19" s="1044">
        <v>8000</v>
      </c>
      <c r="C19" s="1044">
        <v>16000</v>
      </c>
      <c r="D19" s="1066">
        <f t="shared" si="0"/>
        <v>24000</v>
      </c>
    </row>
    <row r="20" spans="1:4" ht="31.5">
      <c r="A20" s="1063" t="s">
        <v>359</v>
      </c>
      <c r="B20" s="1051">
        <f>SUM(B21)</f>
        <v>0</v>
      </c>
      <c r="C20" s="1051">
        <f>SUM(C21)</f>
        <v>1500</v>
      </c>
      <c r="D20" s="1064">
        <f>SUM(D21)</f>
        <v>1500</v>
      </c>
    </row>
    <row r="21" spans="1:4" ht="31.5">
      <c r="A21" s="1068" t="s">
        <v>414</v>
      </c>
      <c r="B21" s="1047"/>
      <c r="C21" s="1047">
        <v>1500</v>
      </c>
      <c r="D21" s="1066">
        <f>SUM(B21:C21)</f>
        <v>1500</v>
      </c>
    </row>
    <row r="22" spans="1:4" ht="47.25">
      <c r="A22" s="1063" t="s">
        <v>422</v>
      </c>
      <c r="B22" s="1051">
        <f>SUM(B23:B31)</f>
        <v>60139</v>
      </c>
      <c r="C22" s="1051">
        <f>SUM(C23:C31)</f>
        <v>498560</v>
      </c>
      <c r="D22" s="1064">
        <f>SUM(D23:D31)</f>
        <v>558699</v>
      </c>
    </row>
    <row r="23" spans="1:4" ht="47.25">
      <c r="A23" s="1067" t="s">
        <v>424</v>
      </c>
      <c r="B23" s="892">
        <v>5000</v>
      </c>
      <c r="C23" s="1047"/>
      <c r="D23" s="1066">
        <f>SUM(B23:C23)</f>
        <v>5000</v>
      </c>
    </row>
    <row r="24" spans="1:4">
      <c r="A24" s="1067" t="s">
        <v>425</v>
      </c>
      <c r="B24" s="892">
        <v>5000</v>
      </c>
      <c r="C24" s="1047"/>
      <c r="D24" s="1066">
        <f t="shared" ref="D24:D30" si="1">SUM(B24:C24)</f>
        <v>5000</v>
      </c>
    </row>
    <row r="25" spans="1:4">
      <c r="A25" s="1067" t="s">
        <v>426</v>
      </c>
      <c r="B25" s="892">
        <v>5000</v>
      </c>
      <c r="C25" s="1047"/>
      <c r="D25" s="1066">
        <f t="shared" si="1"/>
        <v>5000</v>
      </c>
    </row>
    <row r="26" spans="1:4">
      <c r="A26" s="1067"/>
      <c r="B26" s="892"/>
      <c r="C26" s="1047"/>
      <c r="D26" s="1066"/>
    </row>
    <row r="27" spans="1:4" ht="31.5">
      <c r="A27" s="1068" t="s">
        <v>1615</v>
      </c>
      <c r="B27" s="1047">
        <v>5000</v>
      </c>
      <c r="C27" s="1047"/>
      <c r="D27" s="1066">
        <f t="shared" si="1"/>
        <v>5000</v>
      </c>
    </row>
    <row r="28" spans="1:4" ht="31.5">
      <c r="A28" s="1067" t="s">
        <v>436</v>
      </c>
      <c r="B28" s="892">
        <v>12500</v>
      </c>
      <c r="C28" s="892">
        <v>14000</v>
      </c>
      <c r="D28" s="1066">
        <f t="shared" si="1"/>
        <v>26500</v>
      </c>
    </row>
    <row r="29" spans="1:4" ht="31.5">
      <c r="A29" s="1067" t="s">
        <v>437</v>
      </c>
      <c r="B29" s="892"/>
      <c r="C29" s="892"/>
      <c r="D29" s="1066">
        <f t="shared" si="1"/>
        <v>0</v>
      </c>
    </row>
    <row r="30" spans="1:4" ht="31.5">
      <c r="A30" s="1067" t="s">
        <v>438</v>
      </c>
      <c r="B30" s="892">
        <v>27639</v>
      </c>
      <c r="C30" s="892"/>
      <c r="D30" s="1066">
        <f t="shared" si="1"/>
        <v>27639</v>
      </c>
    </row>
    <row r="31" spans="1:4">
      <c r="A31" s="1068" t="s">
        <v>444</v>
      </c>
      <c r="B31" s="1047"/>
      <c r="C31" s="1047">
        <v>484560</v>
      </c>
      <c r="D31" s="1069">
        <f t="shared" ref="D31" si="2">B31+C31</f>
        <v>484560</v>
      </c>
    </row>
    <row r="32" spans="1:4" ht="31.5">
      <c r="A32" s="1061" t="s">
        <v>464</v>
      </c>
      <c r="B32" s="1050">
        <f>SUM(B33)</f>
        <v>125314.6</v>
      </c>
      <c r="C32" s="1050">
        <f>SUM(C33)</f>
        <v>171000</v>
      </c>
      <c r="D32" s="1062">
        <f>SUM(D33)</f>
        <v>296314.59999999998</v>
      </c>
    </row>
    <row r="33" spans="1:4">
      <c r="A33" s="1063" t="s">
        <v>470</v>
      </c>
      <c r="B33" s="1051">
        <f>SUM(B34:B50)</f>
        <v>125314.6</v>
      </c>
      <c r="C33" s="1051">
        <f>SUM(C34:C50)</f>
        <v>171000</v>
      </c>
      <c r="D33" s="1064">
        <f>SUM(D34:D50)</f>
        <v>296314.59999999998</v>
      </c>
    </row>
    <row r="34" spans="1:4">
      <c r="A34" s="1042" t="s">
        <v>1141</v>
      </c>
      <c r="B34" s="1049">
        <v>10000</v>
      </c>
      <c r="C34" s="1047"/>
      <c r="D34" s="1069">
        <f>B34+C34</f>
        <v>10000</v>
      </c>
    </row>
    <row r="35" spans="1:4">
      <c r="A35" s="1042" t="s">
        <v>1616</v>
      </c>
      <c r="B35" s="1049">
        <v>5183.84</v>
      </c>
      <c r="C35" s="1047"/>
      <c r="D35" s="1069">
        <f t="shared" ref="D35:D46" si="3">B35+C35</f>
        <v>5183.84</v>
      </c>
    </row>
    <row r="36" spans="1:4">
      <c r="A36" s="1042" t="s">
        <v>1617</v>
      </c>
      <c r="B36" s="1049">
        <v>14605.13</v>
      </c>
      <c r="C36" s="1047"/>
      <c r="D36" s="1069">
        <f t="shared" si="3"/>
        <v>14605.13</v>
      </c>
    </row>
    <row r="37" spans="1:4">
      <c r="A37" s="1042" t="s">
        <v>1618</v>
      </c>
      <c r="B37" s="1049">
        <v>525.63</v>
      </c>
      <c r="C37" s="1047"/>
      <c r="D37" s="1069">
        <f t="shared" si="3"/>
        <v>525.63</v>
      </c>
    </row>
    <row r="38" spans="1:4">
      <c r="A38" s="1042" t="s">
        <v>1619</v>
      </c>
      <c r="B38" s="1049">
        <v>15000</v>
      </c>
      <c r="C38" s="1047"/>
      <c r="D38" s="1069">
        <f t="shared" si="3"/>
        <v>15000</v>
      </c>
    </row>
    <row r="39" spans="1:4">
      <c r="A39" s="1068" t="s">
        <v>1620</v>
      </c>
      <c r="B39" s="1049">
        <v>80000</v>
      </c>
      <c r="C39" s="1047"/>
      <c r="D39" s="1069">
        <f t="shared" si="3"/>
        <v>80000</v>
      </c>
    </row>
    <row r="40" spans="1:4" ht="15.6" customHeight="1">
      <c r="A40" s="1068" t="s">
        <v>1628</v>
      </c>
      <c r="B40" s="1049"/>
      <c r="C40" s="1047">
        <v>20000</v>
      </c>
      <c r="D40" s="1069">
        <f t="shared" si="3"/>
        <v>20000</v>
      </c>
    </row>
    <row r="41" spans="1:4" ht="15.6" customHeight="1">
      <c r="A41" s="1068" t="s">
        <v>1629</v>
      </c>
      <c r="B41" s="1049"/>
      <c r="C41" s="1047">
        <v>20000</v>
      </c>
      <c r="D41" s="1069">
        <f t="shared" si="3"/>
        <v>20000</v>
      </c>
    </row>
    <row r="42" spans="1:4" ht="15.6" customHeight="1">
      <c r="A42" s="1068" t="s">
        <v>1630</v>
      </c>
      <c r="B42" s="1049"/>
      <c r="C42" s="1047">
        <v>20000</v>
      </c>
      <c r="D42" s="1069">
        <f t="shared" si="3"/>
        <v>20000</v>
      </c>
    </row>
    <row r="43" spans="1:4" ht="15.6" customHeight="1">
      <c r="A43" s="1068" t="s">
        <v>1631</v>
      </c>
      <c r="B43" s="1049"/>
      <c r="C43" s="1047">
        <v>60000</v>
      </c>
      <c r="D43" s="1069">
        <f t="shared" si="3"/>
        <v>60000</v>
      </c>
    </row>
    <row r="44" spans="1:4">
      <c r="A44" s="1068" t="s">
        <v>1632</v>
      </c>
      <c r="B44" s="1049"/>
      <c r="C44" s="1047">
        <v>20000</v>
      </c>
      <c r="D44" s="1069">
        <f t="shared" si="3"/>
        <v>20000</v>
      </c>
    </row>
    <row r="45" spans="1:4">
      <c r="A45" s="1068" t="s">
        <v>1633</v>
      </c>
      <c r="B45" s="1049"/>
      <c r="C45" s="1047">
        <v>6000</v>
      </c>
      <c r="D45" s="1069">
        <f t="shared" si="3"/>
        <v>6000</v>
      </c>
    </row>
    <row r="46" spans="1:4">
      <c r="A46" s="1068" t="s">
        <v>1634</v>
      </c>
      <c r="B46" s="1049"/>
      <c r="C46" s="1047">
        <v>25000</v>
      </c>
      <c r="D46" s="1069">
        <f t="shared" si="3"/>
        <v>25000</v>
      </c>
    </row>
    <row r="47" spans="1:4">
      <c r="A47" s="1068"/>
      <c r="B47" s="1049"/>
      <c r="C47" s="1047"/>
      <c r="D47" s="1069"/>
    </row>
    <row r="48" spans="1:4">
      <c r="A48" s="1068"/>
      <c r="B48" s="1049"/>
      <c r="C48" s="1047"/>
      <c r="D48" s="1069"/>
    </row>
    <row r="49" spans="1:5">
      <c r="A49" s="1068"/>
      <c r="B49" s="1049"/>
      <c r="C49" s="1047"/>
      <c r="D49" s="1069"/>
    </row>
    <row r="50" spans="1:5">
      <c r="A50" s="1068"/>
      <c r="B50" s="1049"/>
      <c r="C50" s="1047"/>
      <c r="D50" s="1069"/>
    </row>
    <row r="51" spans="1:5" ht="63">
      <c r="A51" s="1070" t="s">
        <v>495</v>
      </c>
      <c r="B51" s="1050">
        <f>SUM(B52:B64)</f>
        <v>529712.31999999995</v>
      </c>
      <c r="C51" s="1050">
        <f>C52</f>
        <v>89560</v>
      </c>
      <c r="D51" s="1062">
        <f>D52</f>
        <v>372533.32</v>
      </c>
      <c r="E51" s="209">
        <f>'[15]PRIH REBALANS'!$AJ$971</f>
        <v>39560</v>
      </c>
    </row>
    <row r="52" spans="1:5">
      <c r="A52" s="1079" t="s">
        <v>499</v>
      </c>
      <c r="B52" s="1048">
        <f>SUM(B56:B64)</f>
        <v>246739</v>
      </c>
      <c r="C52" s="1048">
        <f>SUM(C53:C64)</f>
        <v>89560</v>
      </c>
      <c r="D52" s="1080">
        <f>SUM(D53:D64)</f>
        <v>372533.32</v>
      </c>
    </row>
    <row r="53" spans="1:5">
      <c r="A53" s="1081" t="s">
        <v>1635</v>
      </c>
      <c r="B53" s="1082">
        <v>11999.08</v>
      </c>
      <c r="C53" s="1048"/>
      <c r="D53" s="1069">
        <f t="shared" ref="D53:D55" si="4">B53+C53</f>
        <v>11999.08</v>
      </c>
    </row>
    <row r="54" spans="1:5">
      <c r="A54" s="1081" t="s">
        <v>1635</v>
      </c>
      <c r="B54" s="1082">
        <v>7264.82</v>
      </c>
      <c r="C54" s="1048"/>
      <c r="D54" s="1069">
        <f t="shared" si="4"/>
        <v>7264.82</v>
      </c>
    </row>
    <row r="55" spans="1:5">
      <c r="A55" s="1081" t="s">
        <v>1635</v>
      </c>
      <c r="B55" s="1082">
        <v>16970.419999999998</v>
      </c>
      <c r="C55" s="885">
        <v>39560</v>
      </c>
      <c r="D55" s="1069">
        <f t="shared" si="4"/>
        <v>56530.42</v>
      </c>
    </row>
    <row r="56" spans="1:5">
      <c r="A56" s="1057" t="s">
        <v>1621</v>
      </c>
      <c r="B56" s="1047"/>
      <c r="C56" s="892">
        <v>25000</v>
      </c>
      <c r="D56" s="1069">
        <f>B56+C56</f>
        <v>25000</v>
      </c>
    </row>
    <row r="57" spans="1:5">
      <c r="A57" s="1057" t="s">
        <v>1622</v>
      </c>
      <c r="B57" s="1047"/>
      <c r="C57" s="892">
        <v>15000</v>
      </c>
      <c r="D57" s="1069">
        <f t="shared" ref="D57:D64" si="5">B57+C57</f>
        <v>15000</v>
      </c>
    </row>
    <row r="58" spans="1:5">
      <c r="A58" s="1057" t="s">
        <v>1623</v>
      </c>
      <c r="B58" s="1047"/>
      <c r="C58" s="892">
        <v>10000</v>
      </c>
      <c r="D58" s="1069">
        <f t="shared" si="5"/>
        <v>10000</v>
      </c>
    </row>
    <row r="59" spans="1:5">
      <c r="A59" s="1057" t="s">
        <v>1624</v>
      </c>
      <c r="B59" s="892">
        <v>20000</v>
      </c>
      <c r="C59" s="892"/>
      <c r="D59" s="1069">
        <f t="shared" si="5"/>
        <v>20000</v>
      </c>
    </row>
    <row r="60" spans="1:5">
      <c r="A60" s="1057" t="s">
        <v>506</v>
      </c>
      <c r="B60" s="892">
        <v>100000</v>
      </c>
      <c r="C60" s="892"/>
      <c r="D60" s="1069">
        <f t="shared" si="5"/>
        <v>100000</v>
      </c>
    </row>
    <row r="61" spans="1:5" ht="15.6" customHeight="1">
      <c r="A61" s="1068" t="s">
        <v>1625</v>
      </c>
      <c r="B61" s="1047">
        <v>36234</v>
      </c>
      <c r="C61" s="1047"/>
      <c r="D61" s="1069">
        <f t="shared" si="5"/>
        <v>36234</v>
      </c>
    </row>
    <row r="62" spans="1:5">
      <c r="A62" s="1071" t="s">
        <v>508</v>
      </c>
      <c r="B62" s="892">
        <v>5000</v>
      </c>
      <c r="C62" s="892"/>
      <c r="D62" s="1069">
        <f t="shared" si="5"/>
        <v>5000</v>
      </c>
    </row>
    <row r="63" spans="1:5">
      <c r="A63" s="1057" t="s">
        <v>509</v>
      </c>
      <c r="B63" s="892">
        <v>53749</v>
      </c>
      <c r="C63" s="892"/>
      <c r="D63" s="1069">
        <f t="shared" si="5"/>
        <v>53749</v>
      </c>
    </row>
    <row r="64" spans="1:5" ht="15.6" customHeight="1">
      <c r="A64" s="1068" t="s">
        <v>536</v>
      </c>
      <c r="B64" s="892">
        <v>31756</v>
      </c>
      <c r="C64" s="892"/>
      <c r="D64" s="1069">
        <f t="shared" si="5"/>
        <v>31756</v>
      </c>
    </row>
    <row r="65" spans="1:4" ht="15.6" customHeight="1">
      <c r="A65" s="1086" t="s">
        <v>574</v>
      </c>
      <c r="B65" s="1087">
        <f>SUM(B66:B69)</f>
        <v>74120.939999999988</v>
      </c>
      <c r="C65" s="1087">
        <f>SUM(C66:C69)</f>
        <v>0</v>
      </c>
      <c r="D65" s="1087">
        <f>SUM(D66:D69)</f>
        <v>74120.939999999988</v>
      </c>
    </row>
    <row r="66" spans="1:4" ht="15.6" customHeight="1">
      <c r="A66" s="1085" t="s">
        <v>1637</v>
      </c>
      <c r="B66" s="892">
        <v>50000</v>
      </c>
      <c r="C66" s="895"/>
      <c r="D66" s="1084">
        <f>SUM(B66:C66)</f>
        <v>50000</v>
      </c>
    </row>
    <row r="67" spans="1:4" ht="15.6" customHeight="1">
      <c r="A67" s="1085" t="s">
        <v>1636</v>
      </c>
      <c r="B67" s="892">
        <v>15000</v>
      </c>
      <c r="C67" s="895"/>
      <c r="D67" s="1084">
        <f t="shared" ref="D67:D69" si="6">SUM(B67:C67)</f>
        <v>15000</v>
      </c>
    </row>
    <row r="68" spans="1:4" ht="15.6" customHeight="1">
      <c r="A68" s="1085" t="s">
        <v>581</v>
      </c>
      <c r="B68" s="892">
        <v>9041.4599999999991</v>
      </c>
      <c r="C68" s="895"/>
      <c r="D68" s="1084">
        <f t="shared" si="6"/>
        <v>9041.4599999999991</v>
      </c>
    </row>
    <row r="69" spans="1:4" ht="15.6" customHeight="1">
      <c r="A69" s="1085" t="s">
        <v>582</v>
      </c>
      <c r="B69" s="892">
        <v>79.48</v>
      </c>
      <c r="C69" s="895"/>
      <c r="D69" s="1084">
        <f t="shared" si="6"/>
        <v>79.48</v>
      </c>
    </row>
    <row r="70" spans="1:4" ht="15.6" customHeight="1">
      <c r="A70" s="1083"/>
      <c r="B70" s="895"/>
      <c r="C70" s="895"/>
      <c r="D70" s="1084"/>
    </row>
    <row r="71" spans="1:4" ht="15.6" customHeight="1">
      <c r="A71" s="1083"/>
      <c r="B71" s="895"/>
      <c r="C71" s="895"/>
      <c r="D71" s="1084"/>
    </row>
    <row r="72" spans="1:4" ht="15.6" customHeight="1">
      <c r="A72" s="1083"/>
      <c r="B72" s="895"/>
      <c r="C72" s="895"/>
      <c r="D72" s="1084"/>
    </row>
    <row r="73" spans="1:4" ht="16.5" thickBot="1">
      <c r="A73" s="1072" t="s">
        <v>606</v>
      </c>
      <c r="B73" s="1075">
        <f>SUM(B5,B7,B10,B32,B51,B65)</f>
        <v>861108.85999999987</v>
      </c>
      <c r="C73" s="1075">
        <f t="shared" ref="C73:D73" si="7">SUM(C5,C7,C10,C32,C51,C65)</f>
        <v>1130710</v>
      </c>
      <c r="D73" s="1075">
        <f t="shared" si="7"/>
        <v>2073259.86</v>
      </c>
    </row>
    <row r="74" spans="1:4" ht="16.5" thickTop="1"/>
  </sheetData>
  <mergeCells count="1">
    <mergeCell ref="A1:D1"/>
  </mergeCells>
  <pageMargins left="0.7" right="0.7" top="0.75" bottom="0.75" header="0.3" footer="0.3"/>
  <pageSetup paperSize="9" orientation="portrait" verticalDpi="0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90"/>
  <sheetViews>
    <sheetView topLeftCell="A14" workbookViewId="0">
      <selection activeCell="B11" sqref="B11"/>
    </sheetView>
  </sheetViews>
  <sheetFormatPr defaultRowHeight="15"/>
  <cols>
    <col min="1" max="1" width="37" customWidth="1"/>
    <col min="2" max="2" width="13.28515625" customWidth="1"/>
    <col min="3" max="3" width="12.7109375" customWidth="1"/>
  </cols>
  <sheetData>
    <row r="1" spans="1:4" ht="17.25" thickTop="1" thickBot="1">
      <c r="A1" s="3474" t="s">
        <v>181</v>
      </c>
      <c r="B1" s="3475"/>
      <c r="C1" s="3475"/>
      <c r="D1" s="3476"/>
    </row>
    <row r="2" spans="1:4" ht="32.25" thickTop="1">
      <c r="A2" s="1076" t="s">
        <v>1</v>
      </c>
      <c r="B2" s="886" t="s">
        <v>1343</v>
      </c>
      <c r="C2" s="886" t="s">
        <v>1626</v>
      </c>
      <c r="D2" s="1073" t="s">
        <v>606</v>
      </c>
    </row>
    <row r="3" spans="1:4" ht="15.75">
      <c r="A3" s="1054"/>
      <c r="B3" s="988">
        <v>1</v>
      </c>
      <c r="C3" s="988">
        <v>2</v>
      </c>
      <c r="D3" s="1074" t="s">
        <v>1492</v>
      </c>
    </row>
    <row r="4" spans="1:4" ht="31.5">
      <c r="A4" s="1054" t="s">
        <v>464</v>
      </c>
      <c r="B4" s="988"/>
      <c r="C4" s="988"/>
      <c r="D4" s="1074"/>
    </row>
    <row r="5" spans="1:4">
      <c r="A5" t="s">
        <v>470</v>
      </c>
      <c r="B5" s="209">
        <f>SUM(B6:B8)</f>
        <v>161204</v>
      </c>
      <c r="C5" s="209">
        <f t="shared" ref="C5:D5" si="0">SUM(C6:C8)</f>
        <v>0</v>
      </c>
      <c r="D5" s="209">
        <f t="shared" si="0"/>
        <v>161204</v>
      </c>
    </row>
    <row r="6" spans="1:4" ht="15.75">
      <c r="A6" s="1077" t="s">
        <v>476</v>
      </c>
      <c r="B6" s="1043">
        <v>69574</v>
      </c>
      <c r="D6" s="209">
        <f>SUM(B6:C6)</f>
        <v>69574</v>
      </c>
    </row>
    <row r="7" spans="1:4" ht="15.75">
      <c r="A7" s="1077" t="s">
        <v>477</v>
      </c>
      <c r="B7" s="6">
        <v>81630</v>
      </c>
      <c r="D7" s="209">
        <f t="shared" ref="D7:D8" si="1">SUM(B7:C7)</f>
        <v>81630</v>
      </c>
    </row>
    <row r="8" spans="1:4">
      <c r="A8" t="s">
        <v>1627</v>
      </c>
      <c r="B8">
        <v>10000</v>
      </c>
      <c r="D8" s="209">
        <f t="shared" si="1"/>
        <v>10000</v>
      </c>
    </row>
    <row r="9" spans="1:4">
      <c r="A9" t="s">
        <v>464</v>
      </c>
      <c r="D9" s="209"/>
    </row>
    <row r="10" spans="1:4">
      <c r="A10" s="289" t="s">
        <v>479</v>
      </c>
      <c r="B10" s="289">
        <f>SUM(B11:B64)</f>
        <v>1356862.9500000002</v>
      </c>
      <c r="C10" s="289">
        <f t="shared" ref="C10:D10" si="2">SUM(C11:C20)</f>
        <v>3884243.95</v>
      </c>
      <c r="D10" s="289">
        <f t="shared" si="2"/>
        <v>3884243.95</v>
      </c>
    </row>
    <row r="11" spans="1:4" ht="15.75">
      <c r="A11" s="1088" t="s">
        <v>1319</v>
      </c>
      <c r="C11" s="1082">
        <v>199286.69</v>
      </c>
      <c r="D11" s="209">
        <f t="shared" ref="D11:D20" si="3">SUM(B11:C11)</f>
        <v>199286.69</v>
      </c>
    </row>
    <row r="12" spans="1:4" ht="31.5">
      <c r="A12" s="1088" t="s">
        <v>1315</v>
      </c>
      <c r="C12" s="1082">
        <v>2876584.08</v>
      </c>
      <c r="D12" s="209">
        <f t="shared" si="3"/>
        <v>2876584.08</v>
      </c>
    </row>
    <row r="13" spans="1:4" ht="15.75">
      <c r="A13" s="1088" t="s">
        <v>1316</v>
      </c>
      <c r="C13" s="1082">
        <v>150000</v>
      </c>
      <c r="D13" s="209">
        <f t="shared" si="3"/>
        <v>150000</v>
      </c>
    </row>
    <row r="14" spans="1:4" ht="31.5">
      <c r="A14" s="1088" t="s">
        <v>1318</v>
      </c>
      <c r="C14" s="1082">
        <v>100000</v>
      </c>
      <c r="D14" s="209">
        <f t="shared" si="3"/>
        <v>100000</v>
      </c>
    </row>
    <row r="15" spans="1:4" ht="15.75">
      <c r="A15" s="1042" t="s">
        <v>1638</v>
      </c>
      <c r="C15" s="1078">
        <v>20000</v>
      </c>
      <c r="D15" s="209">
        <f t="shared" si="3"/>
        <v>20000</v>
      </c>
    </row>
    <row r="16" spans="1:4" ht="15.75">
      <c r="A16" s="1042" t="s">
        <v>1639</v>
      </c>
      <c r="C16" s="1078">
        <v>25000</v>
      </c>
      <c r="D16" s="209">
        <f t="shared" si="3"/>
        <v>25000</v>
      </c>
    </row>
    <row r="17" spans="1:4" ht="31.5">
      <c r="A17" s="1042" t="s">
        <v>1640</v>
      </c>
      <c r="C17" s="1078">
        <v>200000</v>
      </c>
      <c r="D17" s="209">
        <f t="shared" si="3"/>
        <v>200000</v>
      </c>
    </row>
    <row r="18" spans="1:4" ht="31.5">
      <c r="A18" s="1042" t="s">
        <v>1641</v>
      </c>
      <c r="C18" s="1078">
        <v>143373.18</v>
      </c>
      <c r="D18" s="209">
        <f t="shared" si="3"/>
        <v>143373.18</v>
      </c>
    </row>
    <row r="19" spans="1:4" ht="31.5">
      <c r="A19" s="1042" t="s">
        <v>1642</v>
      </c>
      <c r="C19" s="1078">
        <v>100000</v>
      </c>
      <c r="D19" s="209">
        <f t="shared" si="3"/>
        <v>100000</v>
      </c>
    </row>
    <row r="20" spans="1:4" ht="16.5" thickBot="1">
      <c r="A20" s="1042" t="s">
        <v>1643</v>
      </c>
      <c r="C20" s="1078">
        <v>70000</v>
      </c>
      <c r="D20" s="209">
        <f t="shared" si="3"/>
        <v>70000</v>
      </c>
    </row>
    <row r="21" spans="1:4" ht="16.5" thickTop="1">
      <c r="A21" s="712" t="s">
        <v>1264</v>
      </c>
      <c r="B21" s="505">
        <v>4000</v>
      </c>
      <c r="C21" s="1090"/>
      <c r="D21" s="209"/>
    </row>
    <row r="22" spans="1:4" ht="15.75">
      <c r="A22" s="713" t="s">
        <v>1264</v>
      </c>
      <c r="B22" s="508">
        <v>3000</v>
      </c>
      <c r="C22" s="1090"/>
      <c r="D22" s="209"/>
    </row>
    <row r="23" spans="1:4" ht="15.75">
      <c r="A23" s="725" t="s">
        <v>1093</v>
      </c>
      <c r="B23" s="719">
        <v>150000</v>
      </c>
      <c r="C23" s="1090"/>
      <c r="D23" s="209"/>
    </row>
    <row r="24" spans="1:4" ht="15.75">
      <c r="A24" s="713" t="s">
        <v>1094</v>
      </c>
      <c r="B24" s="508">
        <v>41.63</v>
      </c>
      <c r="C24" s="1090"/>
      <c r="D24" s="209"/>
    </row>
    <row r="25" spans="1:4" ht="15.75">
      <c r="A25" s="713" t="s">
        <v>1095</v>
      </c>
      <c r="B25" s="508">
        <v>44.48</v>
      </c>
      <c r="C25" s="1090"/>
      <c r="D25" s="209"/>
    </row>
    <row r="26" spans="1:4" ht="15.75">
      <c r="A26" s="725" t="s">
        <v>1096</v>
      </c>
      <c r="B26" s="719">
        <v>44399.14</v>
      </c>
      <c r="C26" s="1090"/>
      <c r="D26" s="209"/>
    </row>
    <row r="27" spans="1:4" ht="15.75">
      <c r="A27" s="713" t="s">
        <v>1097</v>
      </c>
      <c r="B27" s="508">
        <v>40000</v>
      </c>
      <c r="C27" s="1090"/>
      <c r="D27" s="209"/>
    </row>
    <row r="28" spans="1:4" ht="15.75">
      <c r="A28" s="713" t="s">
        <v>1098</v>
      </c>
      <c r="B28" s="508">
        <v>45000</v>
      </c>
      <c r="C28" s="1090"/>
      <c r="D28" s="209"/>
    </row>
    <row r="29" spans="1:4" ht="15.75">
      <c r="A29" s="713" t="s">
        <v>1099</v>
      </c>
      <c r="B29" s="508">
        <v>40000</v>
      </c>
      <c r="C29" s="1090"/>
      <c r="D29" s="209"/>
    </row>
    <row r="30" spans="1:4" ht="15.75">
      <c r="A30" s="713" t="s">
        <v>1100</v>
      </c>
      <c r="B30" s="508">
        <v>90000</v>
      </c>
      <c r="C30" s="1090"/>
      <c r="D30" s="209"/>
    </row>
    <row r="31" spans="1:4" ht="15.75">
      <c r="A31" s="713" t="s">
        <v>1101</v>
      </c>
      <c r="B31" s="508">
        <v>90000</v>
      </c>
      <c r="C31" s="1090"/>
      <c r="D31" s="209"/>
    </row>
    <row r="32" spans="1:4" ht="15.75">
      <c r="A32" s="713" t="s">
        <v>1102</v>
      </c>
      <c r="B32" s="508">
        <v>80000</v>
      </c>
      <c r="C32" s="1090"/>
      <c r="D32" s="209"/>
    </row>
    <row r="33" spans="1:4" ht="15.75">
      <c r="A33" s="725" t="s">
        <v>1103</v>
      </c>
      <c r="B33" s="719">
        <v>110000</v>
      </c>
      <c r="C33" s="1090"/>
      <c r="D33" s="209"/>
    </row>
    <row r="34" spans="1:4" ht="15.75">
      <c r="A34" s="713" t="s">
        <v>1104</v>
      </c>
      <c r="B34" s="508">
        <v>60000</v>
      </c>
      <c r="C34" s="1090"/>
      <c r="D34" s="209"/>
    </row>
    <row r="35" spans="1:4" ht="15.75">
      <c r="A35" s="725" t="s">
        <v>1105</v>
      </c>
      <c r="B35" s="719">
        <v>30000</v>
      </c>
      <c r="C35" s="1090"/>
      <c r="D35" s="209"/>
    </row>
    <row r="36" spans="1:4" ht="15.75">
      <c r="A36" s="713" t="s">
        <v>1106</v>
      </c>
      <c r="B36" s="508">
        <v>70000</v>
      </c>
      <c r="C36" s="1090"/>
      <c r="D36" s="209"/>
    </row>
    <row r="37" spans="1:4" ht="15.75">
      <c r="A37" s="713" t="s">
        <v>1107</v>
      </c>
      <c r="B37" s="508">
        <v>120000</v>
      </c>
      <c r="C37" s="1090"/>
      <c r="D37" s="209"/>
    </row>
    <row r="38" spans="1:4" ht="15.75">
      <c r="A38" s="713" t="s">
        <v>1092</v>
      </c>
      <c r="B38" s="508">
        <v>21.9</v>
      </c>
      <c r="C38" s="1090"/>
      <c r="D38" s="209"/>
    </row>
    <row r="39" spans="1:4" ht="15.75">
      <c r="A39" s="713" t="s">
        <v>1108</v>
      </c>
      <c r="B39" s="508">
        <v>22.78</v>
      </c>
      <c r="C39" s="1090"/>
      <c r="D39" s="209"/>
    </row>
    <row r="40" spans="1:4" ht="15.75">
      <c r="A40" s="713" t="s">
        <v>1109</v>
      </c>
      <c r="B40" s="508">
        <v>72.63</v>
      </c>
      <c r="C40" s="1090"/>
      <c r="D40" s="209"/>
    </row>
    <row r="41" spans="1:4" ht="15.75">
      <c r="A41" s="713" t="s">
        <v>1097</v>
      </c>
      <c r="B41" s="508">
        <v>22.78</v>
      </c>
      <c r="C41" s="1090"/>
      <c r="D41" s="209"/>
    </row>
    <row r="42" spans="1:4" ht="15.75">
      <c r="A42" s="713" t="s">
        <v>1110</v>
      </c>
      <c r="B42" s="508">
        <v>23.22</v>
      </c>
      <c r="C42" s="1090"/>
      <c r="D42" s="209"/>
    </row>
    <row r="43" spans="1:4" ht="15.75">
      <c r="A43" s="713" t="s">
        <v>1083</v>
      </c>
      <c r="B43" s="508">
        <v>1.17</v>
      </c>
      <c r="C43" s="1090"/>
      <c r="D43" s="209"/>
    </row>
    <row r="44" spans="1:4" ht="15.75">
      <c r="A44" s="713" t="s">
        <v>1111</v>
      </c>
      <c r="B44" s="508">
        <v>71</v>
      </c>
      <c r="C44" s="1090"/>
      <c r="D44" s="209"/>
    </row>
    <row r="45" spans="1:4" ht="15.75">
      <c r="A45" s="713" t="s">
        <v>1112</v>
      </c>
      <c r="B45" s="508">
        <v>25000</v>
      </c>
      <c r="C45" s="1090"/>
      <c r="D45" s="209"/>
    </row>
    <row r="46" spans="1:4" ht="15.75">
      <c r="A46" s="713" t="s">
        <v>1091</v>
      </c>
      <c r="B46" s="508">
        <v>23.22</v>
      </c>
      <c r="C46" s="1090"/>
      <c r="D46" s="209"/>
    </row>
    <row r="47" spans="1:4" ht="15.75">
      <c r="A47" s="713" t="s">
        <v>1113</v>
      </c>
      <c r="B47" s="508">
        <v>3.34</v>
      </c>
      <c r="C47" s="1090"/>
      <c r="D47" s="209"/>
    </row>
    <row r="48" spans="1:4" ht="15.75">
      <c r="A48" s="713" t="s">
        <v>1114</v>
      </c>
      <c r="B48" s="508">
        <v>8.6199999999999992</v>
      </c>
      <c r="C48" s="1090"/>
      <c r="D48" s="209"/>
    </row>
    <row r="49" spans="1:4" ht="15.75">
      <c r="A49" s="713" t="s">
        <v>1115</v>
      </c>
      <c r="B49" s="508">
        <v>7.3</v>
      </c>
      <c r="C49" s="1090"/>
      <c r="D49" s="209"/>
    </row>
    <row r="50" spans="1:4" ht="15.75">
      <c r="A50" s="713" t="s">
        <v>1116</v>
      </c>
      <c r="B50" s="508">
        <v>80002.679999999993</v>
      </c>
      <c r="C50" s="1090"/>
      <c r="D50" s="209"/>
    </row>
    <row r="51" spans="1:4" ht="15.75">
      <c r="A51" s="725" t="s">
        <v>1117</v>
      </c>
      <c r="B51" s="719">
        <v>31879.11</v>
      </c>
      <c r="C51" s="1090"/>
      <c r="D51" s="209"/>
    </row>
    <row r="52" spans="1:4" ht="15.75">
      <c r="A52" s="713" t="s">
        <v>1091</v>
      </c>
      <c r="B52" s="508">
        <v>3.65</v>
      </c>
      <c r="C52" s="1090"/>
      <c r="D52" s="209"/>
    </row>
    <row r="53" spans="1:4" ht="15.75">
      <c r="A53" s="713" t="s">
        <v>1118</v>
      </c>
      <c r="B53" s="508">
        <v>7.3</v>
      </c>
      <c r="C53" s="1090"/>
      <c r="D53" s="209"/>
    </row>
    <row r="54" spans="1:4" ht="15.75">
      <c r="A54" s="713" t="s">
        <v>1119</v>
      </c>
      <c r="B54" s="508">
        <v>16540.53</v>
      </c>
      <c r="C54" s="1090"/>
      <c r="D54" s="209"/>
    </row>
    <row r="55" spans="1:4" ht="15.75">
      <c r="A55" s="713" t="s">
        <v>1120</v>
      </c>
      <c r="B55" s="508">
        <v>30.08</v>
      </c>
      <c r="C55" s="1090"/>
      <c r="D55" s="209"/>
    </row>
    <row r="56" spans="1:4" ht="15.75">
      <c r="A56" s="713" t="s">
        <v>1121</v>
      </c>
      <c r="B56" s="508">
        <v>16042.25</v>
      </c>
      <c r="C56" s="1090"/>
      <c r="D56" s="209"/>
    </row>
    <row r="57" spans="1:4" ht="15.75">
      <c r="A57" s="713" t="s">
        <v>1122</v>
      </c>
      <c r="B57" s="508">
        <v>24</v>
      </c>
      <c r="C57" s="1090"/>
      <c r="D57" s="209"/>
    </row>
    <row r="58" spans="1:4" ht="15.75">
      <c r="A58" s="713" t="s">
        <v>1123</v>
      </c>
      <c r="B58" s="508">
        <v>48311.43</v>
      </c>
      <c r="C58" s="1090"/>
      <c r="D58" s="209"/>
    </row>
    <row r="59" spans="1:4" ht="15.75">
      <c r="A59" s="713" t="s">
        <v>1128</v>
      </c>
      <c r="B59" s="508">
        <v>66741.75</v>
      </c>
      <c r="C59" s="1090"/>
      <c r="D59" s="209"/>
    </row>
    <row r="60" spans="1:4" ht="15.75">
      <c r="A60" s="713" t="s">
        <v>1106</v>
      </c>
      <c r="B60" s="508">
        <v>90000</v>
      </c>
      <c r="C60" s="1090"/>
      <c r="D60" s="209"/>
    </row>
    <row r="61" spans="1:4" ht="15.75">
      <c r="A61" s="713" t="s">
        <v>1127</v>
      </c>
      <c r="B61" s="508">
        <v>15.04</v>
      </c>
      <c r="C61" s="1090"/>
      <c r="D61" s="209"/>
    </row>
    <row r="62" spans="1:4" ht="15.75">
      <c r="A62" s="713" t="s">
        <v>1126</v>
      </c>
      <c r="B62" s="508">
        <v>5298.88</v>
      </c>
      <c r="C62" s="1090"/>
      <c r="D62" s="209"/>
    </row>
    <row r="63" spans="1:4" ht="15.75">
      <c r="A63" s="713" t="s">
        <v>1125</v>
      </c>
      <c r="B63" s="508">
        <v>23.04</v>
      </c>
      <c r="C63" s="1090"/>
      <c r="D63" s="209"/>
    </row>
    <row r="64" spans="1:4" ht="15.75">
      <c r="A64" s="713" t="s">
        <v>1124</v>
      </c>
      <c r="B64" s="508">
        <v>180</v>
      </c>
      <c r="C64" s="1090"/>
      <c r="D64" s="209"/>
    </row>
    <row r="65" spans="1:4" ht="15.75">
      <c r="A65" s="1089"/>
      <c r="C65" s="1090"/>
      <c r="D65" s="209"/>
    </row>
    <row r="66" spans="1:4" ht="15.75">
      <c r="A66" s="1089"/>
      <c r="C66" s="1090"/>
      <c r="D66" s="209"/>
    </row>
    <row r="67" spans="1:4" ht="15.75">
      <c r="A67" s="1089"/>
      <c r="C67" s="1090"/>
      <c r="D67" s="209"/>
    </row>
    <row r="68" spans="1:4" ht="15.75">
      <c r="A68" s="1089"/>
      <c r="C68" s="1090"/>
      <c r="D68" s="209"/>
    </row>
    <row r="69" spans="1:4" ht="15.75">
      <c r="A69" s="1089"/>
      <c r="C69" s="1090"/>
      <c r="D69" s="209"/>
    </row>
    <row r="70" spans="1:4" ht="15.75">
      <c r="A70" s="1089"/>
      <c r="C70" s="1090"/>
      <c r="D70" s="209"/>
    </row>
    <row r="71" spans="1:4" ht="15.75">
      <c r="A71" s="1089"/>
      <c r="C71" s="1090"/>
      <c r="D71" s="209"/>
    </row>
    <row r="72" spans="1:4" ht="15.75">
      <c r="A72" s="1089"/>
      <c r="C72" s="1090"/>
      <c r="D72" s="209"/>
    </row>
    <row r="73" spans="1:4" ht="15.75">
      <c r="A73" s="1089"/>
      <c r="C73" s="1090"/>
      <c r="D73" s="209"/>
    </row>
    <row r="74" spans="1:4" ht="15.75">
      <c r="A74" s="1089"/>
      <c r="C74" s="1090"/>
      <c r="D74" s="209"/>
    </row>
    <row r="75" spans="1:4" ht="15.75">
      <c r="A75" s="1089"/>
      <c r="C75" s="1090"/>
      <c r="D75" s="209"/>
    </row>
    <row r="76" spans="1:4" ht="15.75">
      <c r="A76" s="1089"/>
      <c r="C76" s="1090"/>
      <c r="D76" s="209"/>
    </row>
    <row r="77" spans="1:4" ht="15.75">
      <c r="A77" s="1089"/>
      <c r="C77" s="1090"/>
      <c r="D77" s="209"/>
    </row>
    <row r="78" spans="1:4" ht="15.75">
      <c r="A78" s="1089"/>
      <c r="C78" s="1090"/>
      <c r="D78" s="209"/>
    </row>
    <row r="79" spans="1:4" ht="15.75">
      <c r="A79" s="1089"/>
      <c r="C79" s="1090"/>
      <c r="D79" s="209"/>
    </row>
    <row r="81" spans="1:4" ht="15.75">
      <c r="A81" s="1086" t="s">
        <v>574</v>
      </c>
      <c r="B81" s="1087">
        <f>SUM(B82:B85)</f>
        <v>74120.939999999988</v>
      </c>
      <c r="C81" s="1087">
        <f>SUM(C82:C85)</f>
        <v>0</v>
      </c>
      <c r="D81" s="1087">
        <f>SUM(D82:D85)</f>
        <v>74120.939999999988</v>
      </c>
    </row>
    <row r="82" spans="1:4" ht="15.75">
      <c r="A82" s="1085" t="s">
        <v>1637</v>
      </c>
      <c r="B82" s="892">
        <v>50000</v>
      </c>
      <c r="C82" s="895"/>
      <c r="D82" s="1084">
        <f>SUM(B82:C82)</f>
        <v>50000</v>
      </c>
    </row>
    <row r="83" spans="1:4" ht="15.75">
      <c r="A83" s="1085" t="s">
        <v>1636</v>
      </c>
      <c r="B83" s="892">
        <v>15000</v>
      </c>
      <c r="C83" s="895"/>
      <c r="D83" s="1084">
        <f t="shared" ref="D83:D85" si="4">SUM(B83:C83)</f>
        <v>15000</v>
      </c>
    </row>
    <row r="84" spans="1:4" ht="31.5">
      <c r="A84" s="1085" t="s">
        <v>581</v>
      </c>
      <c r="B84" s="892">
        <v>9041.4599999999991</v>
      </c>
      <c r="C84" s="895"/>
      <c r="D84" s="1084">
        <f t="shared" si="4"/>
        <v>9041.4599999999991</v>
      </c>
    </row>
    <row r="85" spans="1:4" ht="31.5">
      <c r="A85" s="1085" t="s">
        <v>582</v>
      </c>
      <c r="B85" s="892">
        <v>79.48</v>
      </c>
      <c r="C85" s="895"/>
      <c r="D85" s="1084">
        <f t="shared" si="4"/>
        <v>79.48</v>
      </c>
    </row>
    <row r="86" spans="1:4" ht="15.75">
      <c r="A86" s="1083"/>
      <c r="B86" s="895"/>
      <c r="C86" s="895"/>
      <c r="D86" s="1084"/>
    </row>
    <row r="87" spans="1:4" ht="15.75">
      <c r="A87" s="1083"/>
      <c r="B87" s="895"/>
      <c r="C87" s="895"/>
      <c r="D87" s="1084"/>
    </row>
    <row r="88" spans="1:4" ht="15.75">
      <c r="A88" s="1083"/>
      <c r="B88" s="895"/>
      <c r="C88" s="895"/>
      <c r="D88" s="1084"/>
    </row>
    <row r="89" spans="1:4" ht="16.5" thickBot="1">
      <c r="A89" s="1072" t="s">
        <v>606</v>
      </c>
      <c r="B89" s="1075" t="e">
        <f>SUM(#REF!,#REF!,#REF!,#REF!,#REF!,B81)</f>
        <v>#REF!</v>
      </c>
      <c r="C89" s="1075" t="e">
        <f t="shared" ref="C89" si="5">SUM(#REF!,#REF!,#REF!,#REF!,#REF!,C81)</f>
        <v>#REF!</v>
      </c>
      <c r="D89" s="1075" t="e">
        <f t="shared" ref="D89" si="6">SUM(#REF!,#REF!,#REF!,#REF!,#REF!,D81)</f>
        <v>#REF!</v>
      </c>
    </row>
    <row r="90" spans="1:4" ht="15.75" thickTop="1"/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C218"/>
  <sheetViews>
    <sheetView view="pageBreakPreview" zoomScale="78" zoomScaleNormal="85" zoomScaleSheetLayoutView="78" workbookViewId="0">
      <selection activeCell="C5" sqref="C5:K5"/>
    </sheetView>
  </sheetViews>
  <sheetFormatPr defaultRowHeight="19.5"/>
  <cols>
    <col min="1" max="1" width="12.7109375" style="2602" customWidth="1"/>
    <col min="2" max="2" width="63.85546875" style="2603" customWidth="1"/>
    <col min="3" max="10" width="15.140625" style="275" customWidth="1"/>
    <col min="11" max="11" width="8.28515625" style="275" customWidth="1"/>
    <col min="12" max="12" width="13.5703125" customWidth="1"/>
    <col min="13" max="19" width="8.28515625" customWidth="1"/>
    <col min="20" max="20" width="12.7109375" customWidth="1"/>
    <col min="21" max="23" width="8.28515625" customWidth="1"/>
    <col min="24" max="24" width="14.85546875" customWidth="1"/>
    <col min="25" max="25" width="13.140625" customWidth="1"/>
    <col min="26" max="26" width="12.7109375" customWidth="1"/>
    <col min="27" max="27" width="6.28515625" customWidth="1"/>
    <col min="28" max="28" width="12.85546875" style="454" customWidth="1"/>
    <col min="29" max="29" width="13.5703125" customWidth="1"/>
  </cols>
  <sheetData>
    <row r="1" spans="1:28">
      <c r="A1" s="3304" t="s">
        <v>1549</v>
      </c>
      <c r="B1" s="3304"/>
      <c r="C1" s="3304"/>
      <c r="D1" s="3304"/>
      <c r="E1" s="3304"/>
      <c r="F1" s="3304"/>
      <c r="G1" s="3304"/>
      <c r="H1" s="3304"/>
      <c r="I1" s="3304"/>
      <c r="J1" s="3304"/>
      <c r="K1" s="3304"/>
      <c r="L1" s="1392"/>
      <c r="M1" s="1392"/>
      <c r="N1" s="1392"/>
      <c r="O1" s="1392"/>
      <c r="P1" s="1392"/>
      <c r="Q1" s="1392"/>
      <c r="R1" s="1392"/>
      <c r="S1" s="993"/>
    </row>
    <row r="2" spans="1:28" ht="20.25" thickBot="1">
      <c r="A2" s="3311" t="s">
        <v>647</v>
      </c>
      <c r="B2" s="3311"/>
      <c r="C2" s="2490"/>
      <c r="D2" s="2490"/>
      <c r="E2" s="2490"/>
      <c r="F2" s="2490"/>
      <c r="G2" s="2490"/>
      <c r="H2" s="2490"/>
      <c r="I2" s="2490"/>
      <c r="J2" s="2490"/>
      <c r="K2" s="2490"/>
      <c r="L2" s="977"/>
      <c r="M2" s="977"/>
      <c r="N2" s="977"/>
      <c r="O2" s="977"/>
      <c r="P2" s="977"/>
      <c r="Q2" s="977"/>
      <c r="R2" s="977"/>
      <c r="S2" s="977"/>
      <c r="T2" s="295"/>
      <c r="U2" s="295"/>
      <c r="V2" s="295"/>
      <c r="W2" s="295"/>
      <c r="X2" s="295"/>
      <c r="Y2" s="295"/>
      <c r="Z2" s="295"/>
      <c r="AA2" s="295"/>
      <c r="AB2" s="451"/>
    </row>
    <row r="3" spans="1:28" s="289" customFormat="1" ht="44.45" customHeight="1" thickTop="1">
      <c r="A3" s="3312" t="s">
        <v>202</v>
      </c>
      <c r="B3" s="3314" t="s">
        <v>1</v>
      </c>
      <c r="C3" s="3306" t="s">
        <v>1271</v>
      </c>
      <c r="D3" s="3307"/>
      <c r="E3" s="3307"/>
      <c r="F3" s="3308"/>
      <c r="G3" s="3306" t="s">
        <v>1720</v>
      </c>
      <c r="H3" s="3307"/>
      <c r="I3" s="3307"/>
      <c r="J3" s="3308"/>
      <c r="K3" s="3309" t="s">
        <v>49</v>
      </c>
      <c r="L3" s="1463"/>
      <c r="M3" s="1463"/>
      <c r="N3" s="1463"/>
      <c r="O3" s="1463"/>
      <c r="P3" s="1463"/>
      <c r="Q3" s="1463"/>
      <c r="R3" s="1463"/>
      <c r="S3" s="1243"/>
      <c r="T3" s="1244"/>
      <c r="U3" s="1244"/>
      <c r="V3" s="1244"/>
      <c r="W3" s="1244"/>
      <c r="X3" s="1245"/>
      <c r="Y3" s="1245"/>
      <c r="Z3" s="1245"/>
      <c r="AA3" s="1245"/>
      <c r="AB3" s="3305" t="s">
        <v>49</v>
      </c>
    </row>
    <row r="4" spans="1:28" s="289" customFormat="1" ht="84" customHeight="1">
      <c r="A4" s="3313"/>
      <c r="B4" s="3315"/>
      <c r="C4" s="2491" t="s">
        <v>50</v>
      </c>
      <c r="D4" s="2492" t="s">
        <v>51</v>
      </c>
      <c r="E4" s="2493" t="s">
        <v>52</v>
      </c>
      <c r="F4" s="2494" t="s">
        <v>606</v>
      </c>
      <c r="G4" s="2491" t="s">
        <v>50</v>
      </c>
      <c r="H4" s="2492" t="s">
        <v>51</v>
      </c>
      <c r="I4" s="2493" t="s">
        <v>52</v>
      </c>
      <c r="J4" s="2494" t="s">
        <v>606</v>
      </c>
      <c r="K4" s="3310"/>
      <c r="L4" s="1463"/>
      <c r="M4" s="1463"/>
      <c r="N4" s="1463"/>
      <c r="O4" s="1463"/>
      <c r="P4" s="1463"/>
      <c r="Q4" s="1463"/>
      <c r="R4" s="1463"/>
      <c r="S4" s="1243"/>
      <c r="T4" s="1244"/>
      <c r="U4" s="1244"/>
      <c r="V4" s="1244"/>
      <c r="W4" s="1244"/>
      <c r="X4" s="1245"/>
      <c r="Y4" s="1245"/>
      <c r="Z4" s="1245"/>
      <c r="AA4" s="1245"/>
      <c r="AB4" s="3305"/>
    </row>
    <row r="5" spans="1:28" s="277" customFormat="1">
      <c r="A5" s="2495"/>
      <c r="B5" s="2496"/>
      <c r="C5" s="2497">
        <v>1</v>
      </c>
      <c r="D5" s="2498">
        <v>2</v>
      </c>
      <c r="E5" s="2499">
        <v>3</v>
      </c>
      <c r="F5" s="2500" t="s">
        <v>653</v>
      </c>
      <c r="G5" s="2497">
        <v>5</v>
      </c>
      <c r="H5" s="2498">
        <v>6</v>
      </c>
      <c r="I5" s="2499">
        <v>7</v>
      </c>
      <c r="J5" s="2500" t="s">
        <v>54</v>
      </c>
      <c r="K5" s="2501">
        <v>9</v>
      </c>
      <c r="L5" s="876"/>
      <c r="M5" s="876"/>
      <c r="N5" s="876"/>
      <c r="O5" s="876"/>
      <c r="P5" s="876"/>
      <c r="Q5" s="876"/>
      <c r="R5" s="876"/>
      <c r="S5" s="876"/>
      <c r="T5" s="876"/>
      <c r="U5" s="876"/>
      <c r="V5" s="876"/>
      <c r="W5" s="876"/>
      <c r="X5" s="267" t="e">
        <f t="shared" ref="X5:X68" si="0">C5+D5+E5-F5</f>
        <v>#VALUE!</v>
      </c>
      <c r="Y5" s="473"/>
      <c r="Z5" s="473"/>
      <c r="AA5" s="473"/>
      <c r="AB5" s="452"/>
    </row>
    <row r="6" spans="1:28" s="289" customFormat="1">
      <c r="A6" s="2502"/>
      <c r="B6" s="2503" t="s">
        <v>55</v>
      </c>
      <c r="C6" s="2504">
        <f>SUM(C7+C26+C32)</f>
        <v>31605450</v>
      </c>
      <c r="D6" s="2505">
        <f>SUM(D26:D32)</f>
        <v>2657236.52</v>
      </c>
      <c r="E6" s="2506"/>
      <c r="F6" s="2507">
        <f>SUM(F8:F32)</f>
        <v>34262686.520000003</v>
      </c>
      <c r="G6" s="2504">
        <f>SUM(G7+G26+G32)</f>
        <v>31794200</v>
      </c>
      <c r="H6" s="2505">
        <f>SUM(H26:H32)</f>
        <v>1640800</v>
      </c>
      <c r="I6" s="2506"/>
      <c r="J6" s="2507">
        <f>SUM(J8:J32)</f>
        <v>33435000</v>
      </c>
      <c r="K6" s="2508">
        <f>J6/F6*100</f>
        <v>97.584291822776777</v>
      </c>
      <c r="L6" s="877">
        <f>'prihodi posebni dio'!Z6</f>
        <v>33435000</v>
      </c>
      <c r="M6" s="877"/>
      <c r="N6" s="877"/>
      <c r="O6" s="877"/>
      <c r="P6" s="877"/>
      <c r="Q6" s="877"/>
      <c r="R6" s="877"/>
      <c r="S6" s="877">
        <f>C6+D6+E6-F6</f>
        <v>0</v>
      </c>
      <c r="T6" s="877">
        <f>'prihodi posebni dio'!V6</f>
        <v>34262686</v>
      </c>
      <c r="U6" s="877"/>
      <c r="V6" s="877"/>
      <c r="W6" s="877">
        <f>C6+D6+E6-F6</f>
        <v>0</v>
      </c>
      <c r="X6" s="267">
        <f>'[2]PRIH REBALANS'!$AK$55</f>
        <v>34166686</v>
      </c>
      <c r="Y6" s="267">
        <f>X6-F6</f>
        <v>-96000.520000003278</v>
      </c>
      <c r="Z6" s="267"/>
      <c r="AA6" s="267"/>
      <c r="AB6" s="453" t="e">
        <f>F6/#REF!*100</f>
        <v>#REF!</v>
      </c>
    </row>
    <row r="7" spans="1:28">
      <c r="A7" s="2509"/>
      <c r="B7" s="2510" t="s">
        <v>56</v>
      </c>
      <c r="C7" s="2511">
        <f>SUM(C8:C25)</f>
        <v>18359100</v>
      </c>
      <c r="D7" s="2512"/>
      <c r="E7" s="2513"/>
      <c r="F7" s="2514">
        <f>SUM(F8:F25)</f>
        <v>18359100</v>
      </c>
      <c r="G7" s="2511">
        <f>SUM(G8:G25)</f>
        <v>18093800</v>
      </c>
      <c r="H7" s="2512"/>
      <c r="I7" s="2513"/>
      <c r="J7" s="2514">
        <f>SUM(J8:J25)</f>
        <v>18093800</v>
      </c>
      <c r="K7" s="2515">
        <f t="shared" ref="K7:K70" si="1">J7/F7*100</f>
        <v>98.554940056974473</v>
      </c>
      <c r="L7" s="880"/>
      <c r="M7" s="880"/>
      <c r="N7" s="880"/>
      <c r="O7" s="880"/>
      <c r="P7" s="880"/>
      <c r="Q7" s="880"/>
      <c r="R7" s="880"/>
      <c r="S7" s="877">
        <f t="shared" ref="S7:S70" si="2">C7+D7+E7-F7</f>
        <v>0</v>
      </c>
      <c r="T7" s="878">
        <f>'prihodi posebni dio'!V7</f>
        <v>18359100</v>
      </c>
      <c r="U7" s="878"/>
      <c r="V7" s="878"/>
      <c r="W7" s="877">
        <f t="shared" ref="W7:W70" si="3">C7+D7+E7-F7</f>
        <v>0</v>
      </c>
      <c r="X7" s="267">
        <f t="shared" si="0"/>
        <v>0</v>
      </c>
      <c r="Y7" s="267">
        <f t="shared" ref="Y7:Y70" si="4">X7-F7</f>
        <v>-18359100</v>
      </c>
      <c r="Z7" s="474"/>
      <c r="AA7" s="474"/>
      <c r="AB7" s="453" t="e">
        <f>F7/#REF!*100</f>
        <v>#REF!</v>
      </c>
    </row>
    <row r="8" spans="1:28">
      <c r="A8" s="2516" t="s">
        <v>57</v>
      </c>
      <c r="B8" s="2517" t="s">
        <v>58</v>
      </c>
      <c r="C8" s="2518">
        <v>11700</v>
      </c>
      <c r="D8" s="2519"/>
      <c r="E8" s="2520"/>
      <c r="F8" s="2521">
        <f>SUM(C8)</f>
        <v>11700</v>
      </c>
      <c r="G8" s="2518">
        <v>13300</v>
      </c>
      <c r="H8" s="2519"/>
      <c r="I8" s="2520"/>
      <c r="J8" s="2521">
        <f>SUM(G8)</f>
        <v>13300</v>
      </c>
      <c r="K8" s="2515">
        <f t="shared" si="1"/>
        <v>113.67521367521367</v>
      </c>
      <c r="L8" s="880"/>
      <c r="M8" s="880"/>
      <c r="N8" s="880"/>
      <c r="O8" s="880"/>
      <c r="P8" s="880"/>
      <c r="Q8" s="880"/>
      <c r="R8" s="880"/>
      <c r="S8" s="877">
        <f t="shared" si="2"/>
        <v>0</v>
      </c>
      <c r="T8" s="879">
        <f>'prihodi posebni dio'!V8</f>
        <v>11700</v>
      </c>
      <c r="U8" s="879"/>
      <c r="V8" s="879"/>
      <c r="W8" s="877">
        <f t="shared" si="3"/>
        <v>0</v>
      </c>
      <c r="X8" s="267">
        <f t="shared" si="0"/>
        <v>0</v>
      </c>
      <c r="Y8" s="267">
        <f t="shared" si="4"/>
        <v>-11700</v>
      </c>
      <c r="Z8" s="475"/>
      <c r="AA8" s="475"/>
      <c r="AB8" s="453" t="e">
        <f>F8/#REF!*100</f>
        <v>#REF!</v>
      </c>
    </row>
    <row r="9" spans="1:28" ht="31.5" hidden="1" customHeight="1">
      <c r="A9" s="2516">
        <v>711111</v>
      </c>
      <c r="B9" s="2517" t="s">
        <v>59</v>
      </c>
      <c r="C9" s="2518"/>
      <c r="D9" s="2519"/>
      <c r="E9" s="2520"/>
      <c r="F9" s="2521">
        <f t="shared" ref="F9:F24" si="5">SUM(C9)</f>
        <v>0</v>
      </c>
      <c r="G9" s="2518"/>
      <c r="H9" s="2519"/>
      <c r="I9" s="2520"/>
      <c r="J9" s="2521">
        <f t="shared" ref="J9:J16" si="6">SUM(G9)</f>
        <v>0</v>
      </c>
      <c r="K9" s="2515" t="e">
        <f t="shared" si="1"/>
        <v>#DIV/0!</v>
      </c>
      <c r="L9" s="880"/>
      <c r="M9" s="880"/>
      <c r="N9" s="880"/>
      <c r="O9" s="880"/>
      <c r="P9" s="880"/>
      <c r="Q9" s="880"/>
      <c r="R9" s="880"/>
      <c r="S9" s="877">
        <f t="shared" si="2"/>
        <v>0</v>
      </c>
      <c r="T9" s="879"/>
      <c r="U9" s="879"/>
      <c r="V9" s="879"/>
      <c r="W9" s="877">
        <f t="shared" si="3"/>
        <v>0</v>
      </c>
      <c r="X9" s="267">
        <f t="shared" si="0"/>
        <v>0</v>
      </c>
      <c r="Y9" s="267">
        <f t="shared" si="4"/>
        <v>0</v>
      </c>
      <c r="Z9" s="475"/>
      <c r="AA9" s="475"/>
      <c r="AB9" s="453" t="e">
        <f>F9/#REF!*100</f>
        <v>#REF!</v>
      </c>
    </row>
    <row r="10" spans="1:28" ht="15.75" hidden="1" customHeight="1">
      <c r="A10" s="2516">
        <v>711112</v>
      </c>
      <c r="B10" s="2517" t="s">
        <v>60</v>
      </c>
      <c r="C10" s="2518"/>
      <c r="D10" s="2519"/>
      <c r="E10" s="2520"/>
      <c r="F10" s="2521">
        <f t="shared" si="5"/>
        <v>0</v>
      </c>
      <c r="G10" s="2518"/>
      <c r="H10" s="2519"/>
      <c r="I10" s="2520"/>
      <c r="J10" s="2521">
        <f t="shared" si="6"/>
        <v>0</v>
      </c>
      <c r="K10" s="2515" t="e">
        <f t="shared" si="1"/>
        <v>#DIV/0!</v>
      </c>
      <c r="L10" s="880"/>
      <c r="M10" s="880"/>
      <c r="N10" s="880"/>
      <c r="O10" s="880"/>
      <c r="P10" s="880"/>
      <c r="Q10" s="880"/>
      <c r="R10" s="880"/>
      <c r="S10" s="877">
        <f t="shared" si="2"/>
        <v>0</v>
      </c>
      <c r="T10" s="879"/>
      <c r="U10" s="879"/>
      <c r="V10" s="879"/>
      <c r="W10" s="877">
        <f t="shared" si="3"/>
        <v>0</v>
      </c>
      <c r="X10" s="267">
        <f t="shared" si="0"/>
        <v>0</v>
      </c>
      <c r="Y10" s="267">
        <f t="shared" si="4"/>
        <v>0</v>
      </c>
      <c r="Z10" s="475"/>
      <c r="AA10" s="475"/>
      <c r="AB10" s="453" t="e">
        <f>F10/#REF!*100</f>
        <v>#REF!</v>
      </c>
    </row>
    <row r="11" spans="1:28" ht="15.75" hidden="1" customHeight="1">
      <c r="A11" s="2516">
        <v>711113</v>
      </c>
      <c r="B11" s="2517" t="s">
        <v>61</v>
      </c>
      <c r="C11" s="2518"/>
      <c r="D11" s="2519"/>
      <c r="E11" s="2520"/>
      <c r="F11" s="2521">
        <f t="shared" si="5"/>
        <v>0</v>
      </c>
      <c r="G11" s="2518"/>
      <c r="H11" s="2519"/>
      <c r="I11" s="2520"/>
      <c r="J11" s="2521">
        <f t="shared" si="6"/>
        <v>0</v>
      </c>
      <c r="K11" s="2515" t="e">
        <f t="shared" si="1"/>
        <v>#DIV/0!</v>
      </c>
      <c r="L11" s="880"/>
      <c r="M11" s="880"/>
      <c r="N11" s="880"/>
      <c r="O11" s="880"/>
      <c r="P11" s="880"/>
      <c r="Q11" s="880"/>
      <c r="R11" s="880"/>
      <c r="S11" s="877">
        <f t="shared" si="2"/>
        <v>0</v>
      </c>
      <c r="T11" s="879"/>
      <c r="U11" s="879"/>
      <c r="V11" s="879"/>
      <c r="W11" s="877">
        <f t="shared" si="3"/>
        <v>0</v>
      </c>
      <c r="X11" s="267">
        <f t="shared" si="0"/>
        <v>0</v>
      </c>
      <c r="Y11" s="267">
        <f t="shared" si="4"/>
        <v>0</v>
      </c>
      <c r="Z11" s="475"/>
      <c r="AA11" s="475"/>
      <c r="AB11" s="453" t="e">
        <f>F11/#REF!*100</f>
        <v>#REF!</v>
      </c>
    </row>
    <row r="12" spans="1:28" ht="15.75" hidden="1" customHeight="1">
      <c r="A12" s="2516">
        <v>711114</v>
      </c>
      <c r="B12" s="2517" t="s">
        <v>62</v>
      </c>
      <c r="C12" s="2518"/>
      <c r="D12" s="2519"/>
      <c r="E12" s="2520"/>
      <c r="F12" s="2521">
        <f t="shared" si="5"/>
        <v>0</v>
      </c>
      <c r="G12" s="2518"/>
      <c r="H12" s="2519"/>
      <c r="I12" s="2520"/>
      <c r="J12" s="2521">
        <f t="shared" si="6"/>
        <v>0</v>
      </c>
      <c r="K12" s="2515" t="e">
        <f t="shared" si="1"/>
        <v>#DIV/0!</v>
      </c>
      <c r="L12" s="880"/>
      <c r="M12" s="880"/>
      <c r="N12" s="880"/>
      <c r="O12" s="880"/>
      <c r="P12" s="880"/>
      <c r="Q12" s="880"/>
      <c r="R12" s="880"/>
      <c r="S12" s="877">
        <f t="shared" si="2"/>
        <v>0</v>
      </c>
      <c r="T12" s="879"/>
      <c r="U12" s="879"/>
      <c r="V12" s="879"/>
      <c r="W12" s="877">
        <f t="shared" si="3"/>
        <v>0</v>
      </c>
      <c r="X12" s="267">
        <f t="shared" si="0"/>
        <v>0</v>
      </c>
      <c r="Y12" s="267">
        <f t="shared" si="4"/>
        <v>0</v>
      </c>
      <c r="Z12" s="475"/>
      <c r="AA12" s="475"/>
      <c r="AB12" s="453" t="e">
        <f>F12/#REF!*100</f>
        <v>#REF!</v>
      </c>
    </row>
    <row r="13" spans="1:28" ht="31.5" hidden="1" customHeight="1">
      <c r="A13" s="2516">
        <v>711115</v>
      </c>
      <c r="B13" s="2517" t="s">
        <v>63</v>
      </c>
      <c r="C13" s="2518"/>
      <c r="D13" s="2519"/>
      <c r="E13" s="2520"/>
      <c r="F13" s="2521">
        <f t="shared" si="5"/>
        <v>0</v>
      </c>
      <c r="G13" s="2518"/>
      <c r="H13" s="2519"/>
      <c r="I13" s="2520"/>
      <c r="J13" s="2521">
        <f t="shared" si="6"/>
        <v>0</v>
      </c>
      <c r="K13" s="2515" t="e">
        <f t="shared" si="1"/>
        <v>#DIV/0!</v>
      </c>
      <c r="L13" s="880"/>
      <c r="M13" s="880"/>
      <c r="N13" s="880"/>
      <c r="O13" s="880"/>
      <c r="P13" s="880"/>
      <c r="Q13" s="880"/>
      <c r="R13" s="880"/>
      <c r="S13" s="877">
        <f t="shared" si="2"/>
        <v>0</v>
      </c>
      <c r="T13" s="879"/>
      <c r="U13" s="879"/>
      <c r="V13" s="879"/>
      <c r="W13" s="877">
        <f t="shared" si="3"/>
        <v>0</v>
      </c>
      <c r="X13" s="267">
        <f t="shared" si="0"/>
        <v>0</v>
      </c>
      <c r="Y13" s="267">
        <f t="shared" si="4"/>
        <v>0</v>
      </c>
      <c r="Z13" s="475"/>
      <c r="AA13" s="475"/>
      <c r="AB13" s="453" t="e">
        <f>F13/#REF!*100</f>
        <v>#REF!</v>
      </c>
    </row>
    <row r="14" spans="1:28">
      <c r="A14" s="2516">
        <v>713000</v>
      </c>
      <c r="B14" s="2517" t="s">
        <v>64</v>
      </c>
      <c r="C14" s="2518">
        <v>5400</v>
      </c>
      <c r="D14" s="2519"/>
      <c r="E14" s="2520"/>
      <c r="F14" s="2521">
        <f t="shared" si="5"/>
        <v>5400</v>
      </c>
      <c r="G14" s="2518">
        <v>8500</v>
      </c>
      <c r="H14" s="2519"/>
      <c r="I14" s="2520"/>
      <c r="J14" s="2521">
        <f t="shared" si="6"/>
        <v>8500</v>
      </c>
      <c r="K14" s="2515">
        <f t="shared" si="1"/>
        <v>157.40740740740742</v>
      </c>
      <c r="L14" s="880"/>
      <c r="M14" s="880"/>
      <c r="N14" s="880"/>
      <c r="O14" s="880"/>
      <c r="P14" s="880"/>
      <c r="Q14" s="880"/>
      <c r="R14" s="880"/>
      <c r="S14" s="877">
        <f t="shared" si="2"/>
        <v>0</v>
      </c>
      <c r="T14" s="879">
        <f>'prihodi posebni dio'!V14</f>
        <v>5400</v>
      </c>
      <c r="U14" s="879"/>
      <c r="V14" s="879"/>
      <c r="W14" s="877">
        <f t="shared" si="3"/>
        <v>0</v>
      </c>
      <c r="X14" s="267">
        <f t="shared" si="0"/>
        <v>0</v>
      </c>
      <c r="Y14" s="267">
        <f t="shared" si="4"/>
        <v>-5400</v>
      </c>
      <c r="Z14" s="475"/>
      <c r="AA14" s="475"/>
      <c r="AB14" s="453" t="e">
        <f>F14/#REF!*100</f>
        <v>#REF!</v>
      </c>
    </row>
    <row r="15" spans="1:28" ht="15.75" hidden="1" customHeight="1">
      <c r="A15" s="2516">
        <v>713111</v>
      </c>
      <c r="B15" s="2517" t="s">
        <v>65</v>
      </c>
      <c r="C15" s="2518"/>
      <c r="D15" s="2519"/>
      <c r="E15" s="2520"/>
      <c r="F15" s="2521">
        <f t="shared" si="5"/>
        <v>0</v>
      </c>
      <c r="G15" s="2518"/>
      <c r="H15" s="2519"/>
      <c r="I15" s="2520"/>
      <c r="J15" s="2521">
        <f t="shared" si="6"/>
        <v>0</v>
      </c>
      <c r="K15" s="2515" t="e">
        <f t="shared" si="1"/>
        <v>#DIV/0!</v>
      </c>
      <c r="L15" s="880"/>
      <c r="M15" s="880"/>
      <c r="N15" s="880"/>
      <c r="O15" s="880"/>
      <c r="P15" s="880"/>
      <c r="Q15" s="880"/>
      <c r="R15" s="880"/>
      <c r="S15" s="877">
        <f t="shared" si="2"/>
        <v>0</v>
      </c>
      <c r="T15" s="879"/>
      <c r="U15" s="879"/>
      <c r="V15" s="879"/>
      <c r="W15" s="877">
        <f t="shared" si="3"/>
        <v>0</v>
      </c>
      <c r="X15" s="267">
        <f t="shared" si="0"/>
        <v>0</v>
      </c>
      <c r="Y15" s="267">
        <f t="shared" si="4"/>
        <v>0</v>
      </c>
      <c r="Z15" s="475"/>
      <c r="AA15" s="475"/>
      <c r="AB15" s="453" t="e">
        <f>F15/#REF!*100</f>
        <v>#REF!</v>
      </c>
    </row>
    <row r="16" spans="1:28" ht="15.75" hidden="1" customHeight="1">
      <c r="A16" s="2516">
        <v>713113</v>
      </c>
      <c r="B16" s="2517" t="s">
        <v>66</v>
      </c>
      <c r="C16" s="2518"/>
      <c r="D16" s="2519"/>
      <c r="E16" s="2520"/>
      <c r="F16" s="2521">
        <f t="shared" si="5"/>
        <v>0</v>
      </c>
      <c r="G16" s="2518"/>
      <c r="H16" s="2519"/>
      <c r="I16" s="2520"/>
      <c r="J16" s="2521">
        <f t="shared" si="6"/>
        <v>0</v>
      </c>
      <c r="K16" s="2515" t="e">
        <f t="shared" si="1"/>
        <v>#DIV/0!</v>
      </c>
      <c r="L16" s="880"/>
      <c r="M16" s="880"/>
      <c r="N16" s="880"/>
      <c r="O16" s="880"/>
      <c r="P16" s="880"/>
      <c r="Q16" s="880"/>
      <c r="R16" s="880"/>
      <c r="S16" s="877">
        <f t="shared" si="2"/>
        <v>0</v>
      </c>
      <c r="T16" s="879"/>
      <c r="U16" s="879"/>
      <c r="V16" s="879"/>
      <c r="W16" s="877">
        <f t="shared" si="3"/>
        <v>0</v>
      </c>
      <c r="X16" s="267">
        <f t="shared" si="0"/>
        <v>0</v>
      </c>
      <c r="Y16" s="267">
        <f t="shared" si="4"/>
        <v>0</v>
      </c>
      <c r="Z16" s="475"/>
      <c r="AA16" s="475"/>
      <c r="AB16" s="453" t="e">
        <f>F16/#REF!*100</f>
        <v>#REF!</v>
      </c>
    </row>
    <row r="17" spans="1:29">
      <c r="A17" s="2516" t="s">
        <v>67</v>
      </c>
      <c r="B17" s="2517" t="s">
        <v>68</v>
      </c>
      <c r="C17" s="2518">
        <v>6701000</v>
      </c>
      <c r="D17" s="2519"/>
      <c r="E17" s="2520"/>
      <c r="F17" s="2521">
        <f>SUM(C17)</f>
        <v>6701000</v>
      </c>
      <c r="G17" s="2518">
        <v>6521000</v>
      </c>
      <c r="H17" s="2519"/>
      <c r="I17" s="2520"/>
      <c r="J17" s="2521">
        <f>SUM(G17)</f>
        <v>6521000</v>
      </c>
      <c r="K17" s="2515">
        <f t="shared" si="1"/>
        <v>97.313833756155802</v>
      </c>
      <c r="L17" s="880"/>
      <c r="M17" s="880"/>
      <c r="N17" s="880"/>
      <c r="O17" s="880"/>
      <c r="P17" s="880"/>
      <c r="Q17" s="880"/>
      <c r="R17" s="880"/>
      <c r="S17" s="877">
        <f t="shared" si="2"/>
        <v>0</v>
      </c>
      <c r="T17" s="879">
        <f>'prihodi posebni dio'!V17</f>
        <v>6701000</v>
      </c>
      <c r="U17" s="879"/>
      <c r="V17" s="879"/>
      <c r="W17" s="877">
        <f t="shared" si="3"/>
        <v>0</v>
      </c>
      <c r="X17" s="267">
        <f t="shared" si="0"/>
        <v>0</v>
      </c>
      <c r="Y17" s="267">
        <f t="shared" si="4"/>
        <v>-6701000</v>
      </c>
      <c r="Z17" s="475"/>
      <c r="AA17" s="475"/>
      <c r="AB17" s="453" t="e">
        <f>F17/#REF!*100</f>
        <v>#REF!</v>
      </c>
    </row>
    <row r="18" spans="1:29" ht="15.75" hidden="1" customHeight="1">
      <c r="A18" s="2516">
        <v>714111</v>
      </c>
      <c r="B18" s="2517" t="s">
        <v>69</v>
      </c>
      <c r="C18" s="2518"/>
      <c r="D18" s="2519"/>
      <c r="E18" s="2520"/>
      <c r="F18" s="2521">
        <f t="shared" si="5"/>
        <v>0</v>
      </c>
      <c r="G18" s="2518"/>
      <c r="H18" s="2519"/>
      <c r="I18" s="2520"/>
      <c r="J18" s="2521">
        <f t="shared" ref="J18:J24" si="7">SUM(G18)</f>
        <v>0</v>
      </c>
      <c r="K18" s="2515" t="e">
        <f t="shared" si="1"/>
        <v>#DIV/0!</v>
      </c>
      <c r="L18" s="880"/>
      <c r="M18" s="880"/>
      <c r="N18" s="880"/>
      <c r="O18" s="880"/>
      <c r="P18" s="880"/>
      <c r="Q18" s="880"/>
      <c r="R18" s="880"/>
      <c r="S18" s="877">
        <f t="shared" si="2"/>
        <v>0</v>
      </c>
      <c r="T18" s="879"/>
      <c r="U18" s="879"/>
      <c r="V18" s="879"/>
      <c r="W18" s="877">
        <f t="shared" si="3"/>
        <v>0</v>
      </c>
      <c r="X18" s="267">
        <f t="shared" si="0"/>
        <v>0</v>
      </c>
      <c r="Y18" s="267">
        <f t="shared" si="4"/>
        <v>0</v>
      </c>
      <c r="Z18" s="475"/>
      <c r="AA18" s="475"/>
      <c r="AB18" s="453" t="e">
        <f>F18/#REF!*100</f>
        <v>#REF!</v>
      </c>
    </row>
    <row r="19" spans="1:29" ht="15.75" hidden="1" customHeight="1">
      <c r="A19" s="2516">
        <v>714112</v>
      </c>
      <c r="B19" s="2517" t="s">
        <v>70</v>
      </c>
      <c r="C19" s="2518"/>
      <c r="D19" s="2519"/>
      <c r="E19" s="2520"/>
      <c r="F19" s="2521">
        <f t="shared" si="5"/>
        <v>0</v>
      </c>
      <c r="G19" s="2518"/>
      <c r="H19" s="2519"/>
      <c r="I19" s="2520"/>
      <c r="J19" s="2521">
        <f t="shared" si="7"/>
        <v>0</v>
      </c>
      <c r="K19" s="2515" t="e">
        <f t="shared" si="1"/>
        <v>#DIV/0!</v>
      </c>
      <c r="L19" s="880"/>
      <c r="M19" s="880"/>
      <c r="N19" s="880"/>
      <c r="O19" s="880"/>
      <c r="P19" s="880"/>
      <c r="Q19" s="880"/>
      <c r="R19" s="880"/>
      <c r="S19" s="877">
        <f t="shared" si="2"/>
        <v>0</v>
      </c>
      <c r="T19" s="879"/>
      <c r="U19" s="879"/>
      <c r="V19" s="879"/>
      <c r="W19" s="877">
        <f t="shared" si="3"/>
        <v>0</v>
      </c>
      <c r="X19" s="267">
        <f t="shared" si="0"/>
        <v>0</v>
      </c>
      <c r="Y19" s="267">
        <f t="shared" si="4"/>
        <v>0</v>
      </c>
      <c r="Z19" s="475"/>
      <c r="AA19" s="475"/>
      <c r="AB19" s="453" t="e">
        <f>F19/#REF!*100</f>
        <v>#REF!</v>
      </c>
    </row>
    <row r="20" spans="1:29" ht="15.75" hidden="1" customHeight="1">
      <c r="A20" s="2516">
        <v>714113</v>
      </c>
      <c r="B20" s="2517" t="s">
        <v>71</v>
      </c>
      <c r="C20" s="2518"/>
      <c r="D20" s="2519"/>
      <c r="E20" s="2520"/>
      <c r="F20" s="2521">
        <f t="shared" si="5"/>
        <v>0</v>
      </c>
      <c r="G20" s="2518"/>
      <c r="H20" s="2519"/>
      <c r="I20" s="2520"/>
      <c r="J20" s="2521">
        <f t="shared" si="7"/>
        <v>0</v>
      </c>
      <c r="K20" s="2515" t="e">
        <f t="shared" si="1"/>
        <v>#DIV/0!</v>
      </c>
      <c r="L20" s="880"/>
      <c r="M20" s="880"/>
      <c r="N20" s="880"/>
      <c r="O20" s="880"/>
      <c r="P20" s="880"/>
      <c r="Q20" s="880"/>
      <c r="R20" s="880"/>
      <c r="S20" s="877">
        <f t="shared" si="2"/>
        <v>0</v>
      </c>
      <c r="T20" s="879"/>
      <c r="U20" s="879"/>
      <c r="V20" s="879"/>
      <c r="W20" s="877">
        <f t="shared" si="3"/>
        <v>0</v>
      </c>
      <c r="X20" s="267">
        <f t="shared" si="0"/>
        <v>0</v>
      </c>
      <c r="Y20" s="267">
        <f t="shared" si="4"/>
        <v>0</v>
      </c>
      <c r="Z20" s="475"/>
      <c r="AA20" s="475"/>
      <c r="AB20" s="453" t="e">
        <f>F20/#REF!*100</f>
        <v>#REF!</v>
      </c>
    </row>
    <row r="21" spans="1:29" ht="15.75" hidden="1" customHeight="1">
      <c r="A21" s="2516">
        <v>714120</v>
      </c>
      <c r="B21" s="2517" t="s">
        <v>72</v>
      </c>
      <c r="C21" s="2518"/>
      <c r="D21" s="2519"/>
      <c r="E21" s="2520"/>
      <c r="F21" s="2521">
        <f t="shared" si="5"/>
        <v>0</v>
      </c>
      <c r="G21" s="2518"/>
      <c r="H21" s="2519"/>
      <c r="I21" s="2520"/>
      <c r="J21" s="2521">
        <f t="shared" si="7"/>
        <v>0</v>
      </c>
      <c r="K21" s="2515" t="e">
        <f t="shared" si="1"/>
        <v>#DIV/0!</v>
      </c>
      <c r="L21" s="880"/>
      <c r="M21" s="880"/>
      <c r="N21" s="880"/>
      <c r="O21" s="880"/>
      <c r="P21" s="880"/>
      <c r="Q21" s="880"/>
      <c r="R21" s="880"/>
      <c r="S21" s="877">
        <f t="shared" si="2"/>
        <v>0</v>
      </c>
      <c r="T21" s="879"/>
      <c r="U21" s="879"/>
      <c r="V21" s="879"/>
      <c r="W21" s="877">
        <f t="shared" si="3"/>
        <v>0</v>
      </c>
      <c r="X21" s="267">
        <f t="shared" si="0"/>
        <v>0</v>
      </c>
      <c r="Y21" s="267">
        <f t="shared" si="4"/>
        <v>0</v>
      </c>
      <c r="Z21" s="475"/>
      <c r="AA21" s="475"/>
      <c r="AB21" s="453" t="e">
        <f>F21/#REF!*100</f>
        <v>#REF!</v>
      </c>
    </row>
    <row r="22" spans="1:29" ht="15.75" hidden="1" customHeight="1">
      <c r="A22" s="2516">
        <v>714130</v>
      </c>
      <c r="B22" s="2517" t="s">
        <v>73</v>
      </c>
      <c r="C22" s="2518"/>
      <c r="D22" s="2519"/>
      <c r="E22" s="2520"/>
      <c r="F22" s="2521">
        <f t="shared" si="5"/>
        <v>0</v>
      </c>
      <c r="G22" s="2518"/>
      <c r="H22" s="2519"/>
      <c r="I22" s="2520"/>
      <c r="J22" s="2521">
        <f t="shared" si="7"/>
        <v>0</v>
      </c>
      <c r="K22" s="2515" t="e">
        <f t="shared" si="1"/>
        <v>#DIV/0!</v>
      </c>
      <c r="L22" s="880"/>
      <c r="M22" s="880"/>
      <c r="N22" s="880"/>
      <c r="O22" s="880"/>
      <c r="P22" s="880"/>
      <c r="Q22" s="880"/>
      <c r="R22" s="880"/>
      <c r="S22" s="877">
        <f t="shared" si="2"/>
        <v>0</v>
      </c>
      <c r="T22" s="879"/>
      <c r="U22" s="879"/>
      <c r="V22" s="879"/>
      <c r="W22" s="877">
        <f t="shared" si="3"/>
        <v>0</v>
      </c>
      <c r="X22" s="267">
        <f t="shared" si="0"/>
        <v>0</v>
      </c>
      <c r="Y22" s="267">
        <f t="shared" si="4"/>
        <v>0</v>
      </c>
      <c r="Z22" s="475"/>
      <c r="AA22" s="475"/>
      <c r="AB22" s="453" t="e">
        <f>F22/#REF!*100</f>
        <v>#REF!</v>
      </c>
    </row>
    <row r="23" spans="1:29" ht="15.75" hidden="1" customHeight="1">
      <c r="A23" s="2516">
        <v>714140</v>
      </c>
      <c r="B23" s="2517" t="s">
        <v>68</v>
      </c>
      <c r="C23" s="2518"/>
      <c r="D23" s="2519"/>
      <c r="E23" s="2520"/>
      <c r="F23" s="2521">
        <f t="shared" si="5"/>
        <v>0</v>
      </c>
      <c r="G23" s="2518"/>
      <c r="H23" s="2519"/>
      <c r="I23" s="2520"/>
      <c r="J23" s="2521">
        <f t="shared" si="7"/>
        <v>0</v>
      </c>
      <c r="K23" s="2515" t="e">
        <f t="shared" si="1"/>
        <v>#DIV/0!</v>
      </c>
      <c r="L23" s="880"/>
      <c r="M23" s="880"/>
      <c r="N23" s="880"/>
      <c r="O23" s="880"/>
      <c r="P23" s="880"/>
      <c r="Q23" s="880"/>
      <c r="R23" s="880"/>
      <c r="S23" s="877">
        <f t="shared" si="2"/>
        <v>0</v>
      </c>
      <c r="T23" s="879"/>
      <c r="U23" s="879"/>
      <c r="V23" s="879"/>
      <c r="W23" s="877">
        <f t="shared" si="3"/>
        <v>0</v>
      </c>
      <c r="X23" s="267">
        <f t="shared" si="0"/>
        <v>0</v>
      </c>
      <c r="Y23" s="267">
        <f t="shared" si="4"/>
        <v>0</v>
      </c>
      <c r="Z23" s="475"/>
      <c r="AA23" s="475"/>
      <c r="AB23" s="453" t="e">
        <f>F23/#REF!*100</f>
        <v>#REF!</v>
      </c>
    </row>
    <row r="24" spans="1:29" ht="58.5">
      <c r="A24" s="2516" t="s">
        <v>74</v>
      </c>
      <c r="B24" s="2517" t="s">
        <v>75</v>
      </c>
      <c r="C24" s="2518">
        <v>1000</v>
      </c>
      <c r="D24" s="2519"/>
      <c r="E24" s="2520"/>
      <c r="F24" s="2521">
        <f t="shared" si="5"/>
        <v>1000</v>
      </c>
      <c r="G24" s="2518">
        <v>1000</v>
      </c>
      <c r="H24" s="2519"/>
      <c r="I24" s="2520"/>
      <c r="J24" s="2521">
        <f t="shared" si="7"/>
        <v>1000</v>
      </c>
      <c r="K24" s="2515">
        <f t="shared" si="1"/>
        <v>100</v>
      </c>
      <c r="L24" s="880"/>
      <c r="M24" s="880"/>
      <c r="N24" s="880"/>
      <c r="O24" s="880"/>
      <c r="P24" s="880"/>
      <c r="Q24" s="880"/>
      <c r="R24" s="880"/>
      <c r="S24" s="877">
        <f t="shared" si="2"/>
        <v>0</v>
      </c>
      <c r="T24" s="879"/>
      <c r="U24" s="879"/>
      <c r="V24" s="879"/>
      <c r="W24" s="877">
        <f t="shared" si="3"/>
        <v>0</v>
      </c>
      <c r="X24" s="267">
        <f t="shared" si="0"/>
        <v>0</v>
      </c>
      <c r="Y24" s="267">
        <f t="shared" si="4"/>
        <v>-1000</v>
      </c>
      <c r="Z24" s="475"/>
      <c r="AA24" s="475"/>
      <c r="AB24" s="453" t="e">
        <f>F24/#REF!*100</f>
        <v>#REF!</v>
      </c>
    </row>
    <row r="25" spans="1:29">
      <c r="A25" s="2516">
        <v>716000</v>
      </c>
      <c r="B25" s="2517" t="s">
        <v>774</v>
      </c>
      <c r="C25" s="2522">
        <v>11640000</v>
      </c>
      <c r="D25" s="2519"/>
      <c r="E25" s="2520"/>
      <c r="F25" s="2521">
        <f>SUM(C25)</f>
        <v>11640000</v>
      </c>
      <c r="G25" s="2522">
        <v>11550000</v>
      </c>
      <c r="H25" s="2519"/>
      <c r="I25" s="2520"/>
      <c r="J25" s="2521">
        <f>SUM(G25)</f>
        <v>11550000</v>
      </c>
      <c r="K25" s="2515">
        <f t="shared" si="1"/>
        <v>99.226804123711347</v>
      </c>
      <c r="L25" s="880"/>
      <c r="M25" s="880"/>
      <c r="N25" s="880"/>
      <c r="O25" s="880"/>
      <c r="P25" s="880"/>
      <c r="Q25" s="880"/>
      <c r="R25" s="880"/>
      <c r="S25" s="877">
        <f t="shared" si="2"/>
        <v>0</v>
      </c>
      <c r="T25" s="879">
        <f>'prihodi posebni dio'!V25</f>
        <v>11640000</v>
      </c>
      <c r="U25" s="879"/>
      <c r="V25" s="879"/>
      <c r="W25" s="877">
        <f t="shared" si="3"/>
        <v>0</v>
      </c>
      <c r="X25" s="267">
        <f t="shared" si="0"/>
        <v>0</v>
      </c>
      <c r="Y25" s="267">
        <f t="shared" si="4"/>
        <v>-11640000</v>
      </c>
      <c r="Z25" s="475"/>
      <c r="AA25" s="475"/>
      <c r="AB25" s="453" t="e">
        <f>F25/#REF!*100</f>
        <v>#REF!</v>
      </c>
      <c r="AC25" s="209">
        <f>[6]Sheet1!$S$23</f>
        <v>11540000</v>
      </c>
    </row>
    <row r="26" spans="1:29">
      <c r="A26" s="2516">
        <v>717000</v>
      </c>
      <c r="B26" s="2517" t="s">
        <v>76</v>
      </c>
      <c r="C26" s="2518">
        <v>13246000</v>
      </c>
      <c r="D26" s="2519">
        <v>1820000</v>
      </c>
      <c r="E26" s="2523"/>
      <c r="F26" s="2521">
        <f>SUM(C26:E26)</f>
        <v>15066000</v>
      </c>
      <c r="G26" s="2518">
        <v>13700000</v>
      </c>
      <c r="H26" s="2519">
        <v>1640000</v>
      </c>
      <c r="I26" s="2523"/>
      <c r="J26" s="2521">
        <f>SUM(G26:I26)</f>
        <v>15340000</v>
      </c>
      <c r="K26" s="2515">
        <f t="shared" si="1"/>
        <v>101.81866454267887</v>
      </c>
      <c r="L26" s="880"/>
      <c r="M26" s="880"/>
      <c r="N26" s="880"/>
      <c r="O26" s="880"/>
      <c r="P26" s="880"/>
      <c r="Q26" s="880"/>
      <c r="R26" s="880"/>
      <c r="S26" s="877">
        <f t="shared" si="2"/>
        <v>0</v>
      </c>
      <c r="T26" s="879">
        <f>'[3]PRIH REBALANS'!$AG$76</f>
        <v>13246000</v>
      </c>
      <c r="U26" s="879">
        <f>T26-F26</f>
        <v>-1820000</v>
      </c>
      <c r="V26" s="879"/>
      <c r="W26" s="877">
        <f t="shared" si="3"/>
        <v>0</v>
      </c>
      <c r="X26" s="267">
        <f t="shared" si="0"/>
        <v>0</v>
      </c>
      <c r="Y26" s="267">
        <f t="shared" si="4"/>
        <v>-15066000</v>
      </c>
      <c r="Z26" s="475"/>
      <c r="AA26" s="475"/>
      <c r="AB26" s="453" t="e">
        <f>F26/#REF!*100</f>
        <v>#REF!</v>
      </c>
    </row>
    <row r="27" spans="1:29" ht="15.75" hidden="1" customHeight="1">
      <c r="A27" s="2516">
        <v>717141</v>
      </c>
      <c r="B27" s="2517" t="s">
        <v>76</v>
      </c>
      <c r="C27" s="2518"/>
      <c r="D27" s="2519"/>
      <c r="E27" s="2520"/>
      <c r="F27" s="2521">
        <f t="shared" ref="F27:F30" si="8">SUM(C27)</f>
        <v>0</v>
      </c>
      <c r="G27" s="2518"/>
      <c r="H27" s="2519"/>
      <c r="I27" s="2520"/>
      <c r="J27" s="2521">
        <f t="shared" ref="J27:J30" si="9">SUM(G27)</f>
        <v>0</v>
      </c>
      <c r="K27" s="2515" t="e">
        <f t="shared" si="1"/>
        <v>#DIV/0!</v>
      </c>
      <c r="L27" s="880"/>
      <c r="M27" s="880"/>
      <c r="N27" s="880"/>
      <c r="O27" s="880"/>
      <c r="P27" s="880"/>
      <c r="Q27" s="880"/>
      <c r="R27" s="880"/>
      <c r="S27" s="877">
        <f t="shared" si="2"/>
        <v>0</v>
      </c>
      <c r="T27" s="879"/>
      <c r="U27" s="879"/>
      <c r="V27" s="879"/>
      <c r="W27" s="877">
        <f t="shared" si="3"/>
        <v>0</v>
      </c>
      <c r="X27" s="267">
        <f t="shared" si="0"/>
        <v>0</v>
      </c>
      <c r="Y27" s="267">
        <f t="shared" si="4"/>
        <v>0</v>
      </c>
      <c r="Z27" s="475"/>
      <c r="AA27" s="475"/>
      <c r="AB27" s="453" t="e">
        <f>F27/#REF!*100</f>
        <v>#REF!</v>
      </c>
    </row>
    <row r="28" spans="1:29" ht="15.75" hidden="1" customHeight="1">
      <c r="A28" s="2516">
        <v>717131</v>
      </c>
      <c r="B28" s="2517" t="s">
        <v>76</v>
      </c>
      <c r="C28" s="2518"/>
      <c r="D28" s="2519"/>
      <c r="E28" s="2520"/>
      <c r="F28" s="2521">
        <f t="shared" si="8"/>
        <v>0</v>
      </c>
      <c r="G28" s="2518"/>
      <c r="H28" s="2519"/>
      <c r="I28" s="2520"/>
      <c r="J28" s="2521">
        <f t="shared" si="9"/>
        <v>0</v>
      </c>
      <c r="K28" s="2515" t="e">
        <f t="shared" si="1"/>
        <v>#DIV/0!</v>
      </c>
      <c r="L28" s="880"/>
      <c r="M28" s="880"/>
      <c r="N28" s="880"/>
      <c r="O28" s="880"/>
      <c r="P28" s="880"/>
      <c r="Q28" s="880"/>
      <c r="R28" s="880"/>
      <c r="S28" s="877">
        <f t="shared" si="2"/>
        <v>0</v>
      </c>
      <c r="T28" s="879"/>
      <c r="U28" s="879"/>
      <c r="V28" s="879"/>
      <c r="W28" s="877">
        <f t="shared" si="3"/>
        <v>0</v>
      </c>
      <c r="X28" s="267">
        <f t="shared" si="0"/>
        <v>0</v>
      </c>
      <c r="Y28" s="267">
        <f t="shared" si="4"/>
        <v>0</v>
      </c>
      <c r="Z28" s="475"/>
      <c r="AA28" s="475"/>
      <c r="AB28" s="453" t="e">
        <f>F28/#REF!*100</f>
        <v>#REF!</v>
      </c>
    </row>
    <row r="29" spans="1:29" ht="15.75" hidden="1" customHeight="1">
      <c r="A29" s="2516">
        <v>717132</v>
      </c>
      <c r="B29" s="2517" t="s">
        <v>76</v>
      </c>
      <c r="C29" s="2518"/>
      <c r="D29" s="2519"/>
      <c r="E29" s="2520"/>
      <c r="F29" s="2521">
        <f t="shared" si="8"/>
        <v>0</v>
      </c>
      <c r="G29" s="2518"/>
      <c r="H29" s="2519"/>
      <c r="I29" s="2520"/>
      <c r="J29" s="2521">
        <f t="shared" si="9"/>
        <v>0</v>
      </c>
      <c r="K29" s="2515" t="e">
        <f t="shared" si="1"/>
        <v>#DIV/0!</v>
      </c>
      <c r="L29" s="880"/>
      <c r="M29" s="880"/>
      <c r="N29" s="880"/>
      <c r="O29" s="880"/>
      <c r="P29" s="880"/>
      <c r="Q29" s="880"/>
      <c r="R29" s="880"/>
      <c r="S29" s="877">
        <f t="shared" si="2"/>
        <v>0</v>
      </c>
      <c r="T29" s="879"/>
      <c r="U29" s="879"/>
      <c r="V29" s="879"/>
      <c r="W29" s="877">
        <f t="shared" si="3"/>
        <v>0</v>
      </c>
      <c r="X29" s="267">
        <f t="shared" si="0"/>
        <v>0</v>
      </c>
      <c r="Y29" s="267">
        <f t="shared" si="4"/>
        <v>0</v>
      </c>
      <c r="Z29" s="475"/>
      <c r="AA29" s="475"/>
      <c r="AB29" s="453" t="e">
        <f>F29/#REF!*100</f>
        <v>#REF!</v>
      </c>
    </row>
    <row r="30" spans="1:29" ht="15.75" hidden="1" customHeight="1">
      <c r="A30" s="2516" t="s">
        <v>77</v>
      </c>
      <c r="B30" s="2517" t="s">
        <v>76</v>
      </c>
      <c r="C30" s="2518"/>
      <c r="D30" s="2519"/>
      <c r="E30" s="2520"/>
      <c r="F30" s="2521">
        <f t="shared" si="8"/>
        <v>0</v>
      </c>
      <c r="G30" s="2518"/>
      <c r="H30" s="2519"/>
      <c r="I30" s="2520"/>
      <c r="J30" s="2521">
        <f t="shared" si="9"/>
        <v>0</v>
      </c>
      <c r="K30" s="2515" t="e">
        <f t="shared" si="1"/>
        <v>#DIV/0!</v>
      </c>
      <c r="L30" s="880"/>
      <c r="M30" s="880"/>
      <c r="N30" s="880"/>
      <c r="O30" s="880"/>
      <c r="P30" s="880"/>
      <c r="Q30" s="880"/>
      <c r="R30" s="880"/>
      <c r="S30" s="877">
        <f t="shared" si="2"/>
        <v>0</v>
      </c>
      <c r="T30" s="879"/>
      <c r="U30" s="879"/>
      <c r="V30" s="879"/>
      <c r="W30" s="877">
        <f t="shared" si="3"/>
        <v>0</v>
      </c>
      <c r="X30" s="267">
        <f t="shared" si="0"/>
        <v>0</v>
      </c>
      <c r="Y30" s="267">
        <f t="shared" si="4"/>
        <v>0</v>
      </c>
      <c r="Z30" s="475"/>
      <c r="AA30" s="475"/>
      <c r="AB30" s="453" t="e">
        <f>F30/#REF!*100</f>
        <v>#REF!</v>
      </c>
    </row>
    <row r="31" spans="1:29" ht="34.9" customHeight="1">
      <c r="A31" s="2516"/>
      <c r="B31" s="2517" t="s">
        <v>870</v>
      </c>
      <c r="C31" s="2518">
        <v>0</v>
      </c>
      <c r="D31" s="2519">
        <v>836586.52</v>
      </c>
      <c r="E31" s="2520"/>
      <c r="F31" s="2521">
        <f>SUM(D31)</f>
        <v>836586.52</v>
      </c>
      <c r="G31" s="2518"/>
      <c r="H31" s="2519"/>
      <c r="I31" s="2520"/>
      <c r="J31" s="2521">
        <f>SUM(H31)</f>
        <v>0</v>
      </c>
      <c r="K31" s="2515">
        <f t="shared" si="1"/>
        <v>0</v>
      </c>
      <c r="L31" s="880"/>
      <c r="M31" s="880"/>
      <c r="N31" s="880"/>
      <c r="O31" s="880"/>
      <c r="P31" s="880"/>
      <c r="Q31" s="880"/>
      <c r="R31" s="880"/>
      <c r="S31" s="877">
        <f t="shared" si="2"/>
        <v>0</v>
      </c>
      <c r="T31" s="879"/>
      <c r="U31" s="879"/>
      <c r="V31" s="879"/>
      <c r="W31" s="877">
        <f t="shared" si="3"/>
        <v>0</v>
      </c>
      <c r="X31" s="267">
        <f t="shared" si="0"/>
        <v>0</v>
      </c>
      <c r="Y31" s="267">
        <f t="shared" si="4"/>
        <v>-836586.52</v>
      </c>
      <c r="Z31" s="475"/>
      <c r="AA31" s="475"/>
      <c r="AB31" s="453" t="e">
        <f>F31/#REF!*100</f>
        <v>#REF!</v>
      </c>
    </row>
    <row r="32" spans="1:29" ht="34.9" customHeight="1">
      <c r="A32" s="2516">
        <v>719000</v>
      </c>
      <c r="B32" s="2517" t="s">
        <v>78</v>
      </c>
      <c r="C32" s="2518">
        <v>350</v>
      </c>
      <c r="D32" s="2519">
        <v>650</v>
      </c>
      <c r="E32" s="2520"/>
      <c r="F32" s="2521">
        <f>C32+D32+E32</f>
        <v>1000</v>
      </c>
      <c r="G32" s="2518">
        <v>400</v>
      </c>
      <c r="H32" s="2519">
        <v>800</v>
      </c>
      <c r="I32" s="2520"/>
      <c r="J32" s="2521">
        <f>G32+H32+I32</f>
        <v>1200</v>
      </c>
      <c r="K32" s="2515">
        <f t="shared" si="1"/>
        <v>120</v>
      </c>
      <c r="L32" s="880"/>
      <c r="M32" s="880"/>
      <c r="N32" s="880"/>
      <c r="O32" s="880"/>
      <c r="P32" s="880"/>
      <c r="Q32" s="880"/>
      <c r="R32" s="880"/>
      <c r="S32" s="877">
        <f t="shared" si="2"/>
        <v>0</v>
      </c>
      <c r="T32" s="879"/>
      <c r="U32" s="879"/>
      <c r="V32" s="879"/>
      <c r="W32" s="877">
        <f t="shared" si="3"/>
        <v>0</v>
      </c>
      <c r="X32" s="267">
        <f t="shared" si="0"/>
        <v>0</v>
      </c>
      <c r="Y32" s="267">
        <f t="shared" si="4"/>
        <v>-1000</v>
      </c>
      <c r="Z32" s="475"/>
      <c r="AA32" s="475"/>
      <c r="AB32" s="453" t="e">
        <f>F32/#REF!*100</f>
        <v>#REF!</v>
      </c>
    </row>
    <row r="33" spans="1:29" ht="39" hidden="1">
      <c r="A33" s="2516">
        <v>719114</v>
      </c>
      <c r="B33" s="2517" t="s">
        <v>79</v>
      </c>
      <c r="C33" s="2518"/>
      <c r="D33" s="2519">
        <v>550</v>
      </c>
      <c r="E33" s="2520"/>
      <c r="F33" s="2521">
        <f>SUM(C33:E33)</f>
        <v>550</v>
      </c>
      <c r="G33" s="2518"/>
      <c r="H33" s="2519">
        <v>550</v>
      </c>
      <c r="I33" s="2520"/>
      <c r="J33" s="2521">
        <f>SUM(G33:I33)</f>
        <v>550</v>
      </c>
      <c r="K33" s="2515">
        <f t="shared" si="1"/>
        <v>100</v>
      </c>
      <c r="L33" s="880"/>
      <c r="M33" s="880"/>
      <c r="N33" s="880"/>
      <c r="O33" s="880"/>
      <c r="P33" s="880"/>
      <c r="Q33" s="880"/>
      <c r="R33" s="880"/>
      <c r="S33" s="877">
        <f t="shared" si="2"/>
        <v>0</v>
      </c>
      <c r="T33" s="878"/>
      <c r="U33" s="878"/>
      <c r="V33" s="878"/>
      <c r="W33" s="877">
        <f t="shared" si="3"/>
        <v>0</v>
      </c>
      <c r="X33" s="267">
        <f t="shared" si="0"/>
        <v>0</v>
      </c>
      <c r="Y33" s="267">
        <f t="shared" si="4"/>
        <v>-550</v>
      </c>
      <c r="Z33" s="474"/>
      <c r="AA33" s="474"/>
      <c r="AB33" s="453" t="e">
        <f>F33/#REF!*100</f>
        <v>#REF!</v>
      </c>
    </row>
    <row r="34" spans="1:29" ht="39" hidden="1">
      <c r="A34" s="2516">
        <v>719115</v>
      </c>
      <c r="B34" s="2517" t="s">
        <v>80</v>
      </c>
      <c r="C34" s="2518"/>
      <c r="D34" s="2519">
        <v>50</v>
      </c>
      <c r="E34" s="2520"/>
      <c r="F34" s="2521">
        <f>SUM(C34:E34)</f>
        <v>50</v>
      </c>
      <c r="G34" s="2518"/>
      <c r="H34" s="2519">
        <v>50</v>
      </c>
      <c r="I34" s="2520"/>
      <c r="J34" s="2521">
        <f>SUM(G34:I34)</f>
        <v>50</v>
      </c>
      <c r="K34" s="2515">
        <f t="shared" si="1"/>
        <v>100</v>
      </c>
      <c r="L34" s="880"/>
      <c r="M34" s="880"/>
      <c r="N34" s="880"/>
      <c r="O34" s="880"/>
      <c r="P34" s="880"/>
      <c r="Q34" s="880"/>
      <c r="R34" s="880"/>
      <c r="S34" s="877">
        <f t="shared" si="2"/>
        <v>0</v>
      </c>
      <c r="T34" s="878"/>
      <c r="U34" s="878"/>
      <c r="V34" s="878"/>
      <c r="W34" s="877">
        <f t="shared" si="3"/>
        <v>0</v>
      </c>
      <c r="X34" s="267">
        <f t="shared" si="0"/>
        <v>0</v>
      </c>
      <c r="Y34" s="267">
        <f t="shared" si="4"/>
        <v>-50</v>
      </c>
      <c r="Z34" s="474"/>
      <c r="AA34" s="474"/>
      <c r="AB34" s="453" t="e">
        <f>F34/#REF!*100</f>
        <v>#REF!</v>
      </c>
    </row>
    <row r="35" spans="1:29" hidden="1">
      <c r="A35" s="2516">
        <v>719116</v>
      </c>
      <c r="B35" s="2517" t="s">
        <v>81</v>
      </c>
      <c r="C35" s="2518">
        <v>100</v>
      </c>
      <c r="D35" s="2519"/>
      <c r="E35" s="2520"/>
      <c r="F35" s="2521">
        <f>SUM(C35:E35)</f>
        <v>100</v>
      </c>
      <c r="G35" s="2518">
        <v>100</v>
      </c>
      <c r="H35" s="2519"/>
      <c r="I35" s="2520"/>
      <c r="J35" s="2521">
        <f>SUM(G35:I35)</f>
        <v>100</v>
      </c>
      <c r="K35" s="2515">
        <f t="shared" si="1"/>
        <v>100</v>
      </c>
      <c r="L35" s="880"/>
      <c r="M35" s="880"/>
      <c r="N35" s="880"/>
      <c r="O35" s="880"/>
      <c r="P35" s="880"/>
      <c r="Q35" s="880"/>
      <c r="R35" s="880"/>
      <c r="S35" s="877">
        <f t="shared" si="2"/>
        <v>0</v>
      </c>
      <c r="T35" s="878"/>
      <c r="U35" s="878"/>
      <c r="V35" s="878"/>
      <c r="W35" s="877">
        <f t="shared" si="3"/>
        <v>0</v>
      </c>
      <c r="X35" s="267">
        <f t="shared" si="0"/>
        <v>0</v>
      </c>
      <c r="Y35" s="267">
        <f t="shared" si="4"/>
        <v>-100</v>
      </c>
      <c r="Z35" s="474"/>
      <c r="AA35" s="474"/>
      <c r="AB35" s="453" t="e">
        <f>F35/#REF!*100</f>
        <v>#REF!</v>
      </c>
    </row>
    <row r="36" spans="1:29" hidden="1">
      <c r="A36" s="2516">
        <v>719117</v>
      </c>
      <c r="B36" s="2517" t="s">
        <v>82</v>
      </c>
      <c r="C36" s="2518">
        <v>500</v>
      </c>
      <c r="D36" s="2519"/>
      <c r="E36" s="2520"/>
      <c r="F36" s="2521">
        <f>SUM(C36:E36)</f>
        <v>500</v>
      </c>
      <c r="G36" s="2518">
        <v>500</v>
      </c>
      <c r="H36" s="2519"/>
      <c r="I36" s="2520"/>
      <c r="J36" s="2521">
        <f>SUM(G36:I36)</f>
        <v>500</v>
      </c>
      <c r="K36" s="2515">
        <f t="shared" si="1"/>
        <v>100</v>
      </c>
      <c r="L36" s="880"/>
      <c r="M36" s="880"/>
      <c r="N36" s="880"/>
      <c r="O36" s="880"/>
      <c r="P36" s="880"/>
      <c r="Q36" s="880"/>
      <c r="R36" s="880"/>
      <c r="S36" s="877">
        <f t="shared" si="2"/>
        <v>0</v>
      </c>
      <c r="T36" s="878"/>
      <c r="U36" s="878"/>
      <c r="V36" s="878"/>
      <c r="W36" s="877">
        <f t="shared" si="3"/>
        <v>0</v>
      </c>
      <c r="X36" s="267">
        <f t="shared" si="0"/>
        <v>0</v>
      </c>
      <c r="Y36" s="267">
        <f t="shared" si="4"/>
        <v>-500</v>
      </c>
      <c r="Z36" s="474"/>
      <c r="AA36" s="474"/>
      <c r="AB36" s="453" t="e">
        <f>F36/#REF!*100</f>
        <v>#REF!</v>
      </c>
    </row>
    <row r="37" spans="1:29" s="289" customFormat="1" ht="39">
      <c r="A37" s="2502"/>
      <c r="B37" s="2524" t="s">
        <v>83</v>
      </c>
      <c r="C37" s="2504">
        <f>SUM(C113+C124+C175)</f>
        <v>19322360</v>
      </c>
      <c r="D37" s="2505">
        <f>SUM(D39+D40+D41+D113+D123+D124)</f>
        <v>33197140.370000005</v>
      </c>
      <c r="E37" s="2506">
        <f>SUM(E39,E41,E114:E124,E175,)</f>
        <v>0</v>
      </c>
      <c r="F37" s="2507">
        <f>SUM(F39+F40+F41+F113+F123+F124+F175)</f>
        <v>52519500.369999997</v>
      </c>
      <c r="G37" s="2504">
        <f>G113+G124</f>
        <v>13683910</v>
      </c>
      <c r="H37" s="2505">
        <f>SUM(H39+H40+H41+H113+H123+H124)</f>
        <v>12149167</v>
      </c>
      <c r="I37" s="2506">
        <f>SUM(I39,I41,I114:I124,I175,)</f>
        <v>0</v>
      </c>
      <c r="J37" s="2507">
        <f>SUM(J39+J40+J41+J113+J123+J124+J175)</f>
        <v>25843077</v>
      </c>
      <c r="K37" s="2525">
        <f t="shared" si="1"/>
        <v>49.206631475805111</v>
      </c>
      <c r="L37" s="877">
        <f>'prihodi posebni dio'!Z36</f>
        <v>25843077</v>
      </c>
      <c r="M37" s="877">
        <f>L37-J37</f>
        <v>0</v>
      </c>
      <c r="N37" s="877"/>
      <c r="O37" s="877"/>
      <c r="P37" s="877"/>
      <c r="Q37" s="877"/>
      <c r="R37" s="877"/>
      <c r="S37" s="877">
        <f t="shared" si="2"/>
        <v>0</v>
      </c>
      <c r="T37" s="877">
        <f>'prihodi posebni dio'!V36</f>
        <v>52519500.789999999</v>
      </c>
      <c r="U37" s="877"/>
      <c r="V37" s="877"/>
      <c r="W37" s="877">
        <f t="shared" si="3"/>
        <v>0</v>
      </c>
      <c r="X37" s="267">
        <f>'[2]PRIH REBALANS'!$AK$85</f>
        <v>52519500.210000001</v>
      </c>
      <c r="Y37" s="267">
        <f>X37-F37</f>
        <v>-0.15999999642372131</v>
      </c>
      <c r="Z37" s="267">
        <f>Y37-C37</f>
        <v>-19322360.159999996</v>
      </c>
      <c r="AA37" s="267"/>
      <c r="AB37" s="453" t="e">
        <f>F37/#REF!*100</f>
        <v>#REF!</v>
      </c>
      <c r="AC37" s="437"/>
    </row>
    <row r="38" spans="1:29" ht="29.25" hidden="1" customHeight="1">
      <c r="A38" s="2516"/>
      <c r="B38" s="2526" t="s">
        <v>84</v>
      </c>
      <c r="C38" s="2527"/>
      <c r="D38" s="2528"/>
      <c r="E38" s="2529"/>
      <c r="F38" s="2530"/>
      <c r="G38" s="2527"/>
      <c r="H38" s="2528"/>
      <c r="I38" s="2529"/>
      <c r="J38" s="2530"/>
      <c r="K38" s="2515" t="e">
        <f t="shared" si="1"/>
        <v>#DIV/0!</v>
      </c>
      <c r="L38" s="880"/>
      <c r="M38" s="880"/>
      <c r="N38" s="880"/>
      <c r="O38" s="880"/>
      <c r="P38" s="880"/>
      <c r="Q38" s="880"/>
      <c r="R38" s="880"/>
      <c r="S38" s="877">
        <f t="shared" si="2"/>
        <v>0</v>
      </c>
      <c r="T38" s="878"/>
      <c r="U38" s="878"/>
      <c r="V38" s="878"/>
      <c r="W38" s="877">
        <f t="shared" si="3"/>
        <v>0</v>
      </c>
      <c r="X38" s="267">
        <f t="shared" si="0"/>
        <v>0</v>
      </c>
      <c r="Y38" s="267">
        <f t="shared" si="4"/>
        <v>0</v>
      </c>
      <c r="Z38" s="474"/>
      <c r="AA38" s="474"/>
      <c r="AB38" s="453" t="e">
        <f>F38/#REF!*100</f>
        <v>#REF!</v>
      </c>
    </row>
    <row r="39" spans="1:29" ht="29.25" customHeight="1">
      <c r="A39" s="2509" t="s">
        <v>85</v>
      </c>
      <c r="B39" s="2526" t="s">
        <v>86</v>
      </c>
      <c r="C39" s="2511"/>
      <c r="D39" s="2528">
        <v>150000</v>
      </c>
      <c r="E39" s="2513"/>
      <c r="F39" s="2514">
        <f>SUM(D39)</f>
        <v>150000</v>
      </c>
      <c r="G39" s="2511"/>
      <c r="H39" s="2528">
        <v>150000</v>
      </c>
      <c r="I39" s="2513"/>
      <c r="J39" s="2514">
        <f>SUM(H39)</f>
        <v>150000</v>
      </c>
      <c r="K39" s="2515">
        <f t="shared" si="1"/>
        <v>100</v>
      </c>
      <c r="L39" s="880">
        <f>'Prihodi-opći dio'!W36</f>
        <v>0</v>
      </c>
      <c r="M39" s="880"/>
      <c r="N39" s="880"/>
      <c r="O39" s="880"/>
      <c r="P39" s="880"/>
      <c r="Q39" s="880"/>
      <c r="R39" s="880"/>
      <c r="S39" s="877">
        <f t="shared" si="2"/>
        <v>0</v>
      </c>
      <c r="T39" s="879"/>
      <c r="U39" s="879"/>
      <c r="V39" s="879"/>
      <c r="W39" s="877">
        <f t="shared" si="3"/>
        <v>0</v>
      </c>
      <c r="X39" s="267">
        <f t="shared" si="0"/>
        <v>0</v>
      </c>
      <c r="Y39" s="267">
        <f t="shared" si="4"/>
        <v>-150000</v>
      </c>
      <c r="Z39" s="475"/>
      <c r="AA39" s="475"/>
      <c r="AB39" s="453" t="e">
        <f>F39/#REF!*100</f>
        <v>#REF!</v>
      </c>
    </row>
    <row r="40" spans="1:29" ht="48.75" customHeight="1">
      <c r="A40" s="2509"/>
      <c r="B40" s="2526" t="s">
        <v>895</v>
      </c>
      <c r="C40" s="2511"/>
      <c r="D40" s="2528">
        <v>615633</v>
      </c>
      <c r="E40" s="2513"/>
      <c r="F40" s="2514">
        <f>SUM(D40)</f>
        <v>615633</v>
      </c>
      <c r="G40" s="2511"/>
      <c r="H40" s="2528"/>
      <c r="I40" s="2513"/>
      <c r="J40" s="2514">
        <f>SUM(H40)</f>
        <v>0</v>
      </c>
      <c r="K40" s="2515">
        <f t="shared" si="1"/>
        <v>0</v>
      </c>
      <c r="L40" s="880"/>
      <c r="M40" s="880"/>
      <c r="N40" s="880"/>
      <c r="O40" s="880"/>
      <c r="P40" s="880"/>
      <c r="Q40" s="880"/>
      <c r="R40" s="880"/>
      <c r="S40" s="877">
        <f t="shared" si="2"/>
        <v>0</v>
      </c>
      <c r="T40" s="878"/>
      <c r="U40" s="878"/>
      <c r="V40" s="878"/>
      <c r="W40" s="877">
        <f t="shared" si="3"/>
        <v>0</v>
      </c>
      <c r="X40" s="267">
        <f t="shared" si="0"/>
        <v>0</v>
      </c>
      <c r="Y40" s="267">
        <f t="shared" si="4"/>
        <v>-615633</v>
      </c>
      <c r="Z40" s="474"/>
      <c r="AA40" s="474"/>
      <c r="AB40" s="453" t="e">
        <f>F40/#REF!*100</f>
        <v>#REF!</v>
      </c>
    </row>
    <row r="41" spans="1:29" ht="60.75" customHeight="1">
      <c r="A41" s="2531" t="s">
        <v>87</v>
      </c>
      <c r="B41" s="2526" t="s">
        <v>88</v>
      </c>
      <c r="C41" s="2511"/>
      <c r="D41" s="2512">
        <f>SUM(D42:D106)</f>
        <v>11005760.240000002</v>
      </c>
      <c r="E41" s="2513"/>
      <c r="F41" s="2514">
        <f>SUM(F42:F106)</f>
        <v>11005760.240000002</v>
      </c>
      <c r="G41" s="2511"/>
      <c r="H41" s="2512">
        <f>SUM(H42:H106)</f>
        <v>4036167</v>
      </c>
      <c r="I41" s="2513"/>
      <c r="J41" s="2514">
        <f>SUM(J42:J106)</f>
        <v>4036167</v>
      </c>
      <c r="K41" s="2515">
        <f t="shared" si="1"/>
        <v>36.673223039429026</v>
      </c>
      <c r="L41" s="880">
        <f>'[1]PRIH REBALANS'!$AH$75</f>
        <v>4036167</v>
      </c>
      <c r="M41" s="880">
        <f>'prihodi posebni dio'!Z40</f>
        <v>4036167</v>
      </c>
      <c r="N41" s="880"/>
      <c r="O41" s="880"/>
      <c r="P41" s="880"/>
      <c r="Q41" s="880"/>
      <c r="R41" s="880"/>
      <c r="S41" s="877">
        <f t="shared" si="2"/>
        <v>0</v>
      </c>
      <c r="T41" s="878"/>
      <c r="U41" s="878"/>
      <c r="V41" s="878"/>
      <c r="W41" s="877">
        <f t="shared" si="3"/>
        <v>0</v>
      </c>
      <c r="X41" s="267">
        <f>'[2]PRIH REBALANS'!$AK$89</f>
        <v>11005759</v>
      </c>
      <c r="Y41" s="267">
        <f t="shared" si="4"/>
        <v>-1.2400000020861626</v>
      </c>
      <c r="Z41" s="474"/>
      <c r="AA41" s="474"/>
      <c r="AB41" s="453" t="e">
        <f>F41/#REF!*100</f>
        <v>#REF!</v>
      </c>
      <c r="AC41">
        <f>[6]Sheet1!$X$61</f>
        <v>0</v>
      </c>
    </row>
    <row r="42" spans="1:29" ht="27.75" customHeight="1">
      <c r="A42" s="2531"/>
      <c r="B42" s="2532" t="s">
        <v>89</v>
      </c>
      <c r="C42" s="2518"/>
      <c r="D42" s="2519">
        <v>572770</v>
      </c>
      <c r="E42" s="2523"/>
      <c r="F42" s="2533">
        <f>SUM(C42:E42)</f>
        <v>572770</v>
      </c>
      <c r="G42" s="2518"/>
      <c r="H42" s="2519">
        <v>250000</v>
      </c>
      <c r="I42" s="2523"/>
      <c r="J42" s="2533">
        <f>SUM(G42:I42)</f>
        <v>250000</v>
      </c>
      <c r="K42" s="2515">
        <f t="shared" si="1"/>
        <v>43.647537405939559</v>
      </c>
      <c r="L42" s="880"/>
      <c r="M42" s="880"/>
      <c r="N42" s="880"/>
      <c r="O42" s="880"/>
      <c r="P42" s="880"/>
      <c r="Q42" s="880"/>
      <c r="R42" s="880"/>
      <c r="S42" s="877">
        <f t="shared" si="2"/>
        <v>0</v>
      </c>
      <c r="T42" s="879"/>
      <c r="U42" s="879"/>
      <c r="V42" s="879"/>
      <c r="W42" s="877">
        <f t="shared" si="3"/>
        <v>0</v>
      </c>
      <c r="X42" s="267">
        <f t="shared" si="0"/>
        <v>0</v>
      </c>
      <c r="Y42" s="267">
        <f t="shared" si="4"/>
        <v>-572770</v>
      </c>
      <c r="Z42" s="475"/>
      <c r="AA42" s="475"/>
      <c r="AB42" s="453" t="e">
        <f>F42/#REF!*100</f>
        <v>#REF!</v>
      </c>
    </row>
    <row r="43" spans="1:29" ht="17.45" hidden="1" customHeight="1">
      <c r="A43" s="2531">
        <v>721211</v>
      </c>
      <c r="B43" s="2532" t="s">
        <v>89</v>
      </c>
      <c r="C43" s="2518"/>
      <c r="D43" s="2519"/>
      <c r="E43" s="2520"/>
      <c r="F43" s="2533">
        <f t="shared" ref="F43:F106" si="10">SUM(C43:E43)</f>
        <v>0</v>
      </c>
      <c r="G43" s="2518"/>
      <c r="H43" s="2519"/>
      <c r="I43" s="2520"/>
      <c r="J43" s="2533">
        <f t="shared" ref="J43:J106" si="11">SUM(G43:I43)</f>
        <v>0</v>
      </c>
      <c r="K43" s="2515" t="e">
        <f t="shared" si="1"/>
        <v>#DIV/0!</v>
      </c>
      <c r="L43" s="880"/>
      <c r="M43" s="880"/>
      <c r="N43" s="880"/>
      <c r="O43" s="880"/>
      <c r="P43" s="880"/>
      <c r="Q43" s="880"/>
      <c r="R43" s="880"/>
      <c r="S43" s="877">
        <f t="shared" si="2"/>
        <v>0</v>
      </c>
      <c r="T43" s="879"/>
      <c r="U43" s="879"/>
      <c r="V43" s="879"/>
      <c r="W43" s="877">
        <f t="shared" si="3"/>
        <v>0</v>
      </c>
      <c r="X43" s="267">
        <f t="shared" si="0"/>
        <v>0</v>
      </c>
      <c r="Y43" s="267">
        <f t="shared" si="4"/>
        <v>0</v>
      </c>
      <c r="Z43" s="475"/>
      <c r="AA43" s="475"/>
      <c r="AB43" s="453" t="e">
        <f>F43/#REF!*100</f>
        <v>#REF!</v>
      </c>
    </row>
    <row r="44" spans="1:29" ht="17.45" hidden="1" customHeight="1">
      <c r="A44" s="2516">
        <v>722431</v>
      </c>
      <c r="B44" s="2532" t="s">
        <v>89</v>
      </c>
      <c r="C44" s="2518"/>
      <c r="D44" s="2519"/>
      <c r="E44" s="2520"/>
      <c r="F44" s="2533">
        <f t="shared" si="10"/>
        <v>0</v>
      </c>
      <c r="G44" s="2518"/>
      <c r="H44" s="2519"/>
      <c r="I44" s="2520"/>
      <c r="J44" s="2533">
        <f t="shared" si="11"/>
        <v>0</v>
      </c>
      <c r="K44" s="2515" t="e">
        <f t="shared" si="1"/>
        <v>#DIV/0!</v>
      </c>
      <c r="L44" s="880"/>
      <c r="M44" s="880"/>
      <c r="N44" s="880"/>
      <c r="O44" s="880"/>
      <c r="P44" s="880"/>
      <c r="Q44" s="880"/>
      <c r="R44" s="880"/>
      <c r="S44" s="877">
        <f t="shared" si="2"/>
        <v>0</v>
      </c>
      <c r="T44" s="879"/>
      <c r="U44" s="879"/>
      <c r="V44" s="879"/>
      <c r="W44" s="877">
        <f t="shared" si="3"/>
        <v>0</v>
      </c>
      <c r="X44" s="267">
        <f t="shared" si="0"/>
        <v>0</v>
      </c>
      <c r="Y44" s="267">
        <f t="shared" si="4"/>
        <v>0</v>
      </c>
      <c r="Z44" s="475"/>
      <c r="AA44" s="475"/>
      <c r="AB44" s="453" t="e">
        <f>F44/#REF!*100</f>
        <v>#REF!</v>
      </c>
    </row>
    <row r="45" spans="1:29" ht="17.45" hidden="1" customHeight="1">
      <c r="A45" s="2516">
        <v>722431</v>
      </c>
      <c r="B45" s="2532" t="s">
        <v>89</v>
      </c>
      <c r="C45" s="2518"/>
      <c r="D45" s="2519"/>
      <c r="E45" s="2520"/>
      <c r="F45" s="2533">
        <f t="shared" si="10"/>
        <v>0</v>
      </c>
      <c r="G45" s="2518"/>
      <c r="H45" s="2519"/>
      <c r="I45" s="2520"/>
      <c r="J45" s="2533">
        <f t="shared" si="11"/>
        <v>0</v>
      </c>
      <c r="K45" s="2515" t="e">
        <f t="shared" si="1"/>
        <v>#DIV/0!</v>
      </c>
      <c r="L45" s="880"/>
      <c r="M45" s="880"/>
      <c r="N45" s="880"/>
      <c r="O45" s="880"/>
      <c r="P45" s="880"/>
      <c r="Q45" s="880"/>
      <c r="R45" s="880"/>
      <c r="S45" s="877">
        <f t="shared" si="2"/>
        <v>0</v>
      </c>
      <c r="T45" s="879"/>
      <c r="U45" s="879"/>
      <c r="V45" s="879"/>
      <c r="W45" s="877">
        <f t="shared" si="3"/>
        <v>0</v>
      </c>
      <c r="X45" s="267">
        <f t="shared" si="0"/>
        <v>0</v>
      </c>
      <c r="Y45" s="267">
        <f t="shared" si="4"/>
        <v>0</v>
      </c>
      <c r="Z45" s="475"/>
      <c r="AA45" s="475"/>
      <c r="AB45" s="453" t="e">
        <f>F45/#REF!*100</f>
        <v>#REF!</v>
      </c>
    </row>
    <row r="46" spans="1:29" ht="17.45" hidden="1" customHeight="1">
      <c r="A46" s="2534">
        <v>722433</v>
      </c>
      <c r="B46" s="2532" t="s">
        <v>89</v>
      </c>
      <c r="C46" s="2518"/>
      <c r="D46" s="2519"/>
      <c r="E46" s="2520"/>
      <c r="F46" s="2533">
        <f t="shared" si="10"/>
        <v>0</v>
      </c>
      <c r="G46" s="2518"/>
      <c r="H46" s="2519"/>
      <c r="I46" s="2520"/>
      <c r="J46" s="2533">
        <f t="shared" si="11"/>
        <v>0</v>
      </c>
      <c r="K46" s="2515" t="e">
        <f t="shared" si="1"/>
        <v>#DIV/0!</v>
      </c>
      <c r="L46" s="880"/>
      <c r="M46" s="880"/>
      <c r="N46" s="880"/>
      <c r="O46" s="880"/>
      <c r="P46" s="880"/>
      <c r="Q46" s="880"/>
      <c r="R46" s="880"/>
      <c r="S46" s="877">
        <f t="shared" si="2"/>
        <v>0</v>
      </c>
      <c r="T46" s="879"/>
      <c r="U46" s="879"/>
      <c r="V46" s="879"/>
      <c r="W46" s="877">
        <f t="shared" si="3"/>
        <v>0</v>
      </c>
      <c r="X46" s="267">
        <f t="shared" si="0"/>
        <v>0</v>
      </c>
      <c r="Y46" s="267">
        <f t="shared" si="4"/>
        <v>0</v>
      </c>
      <c r="Z46" s="475"/>
      <c r="AA46" s="475"/>
      <c r="AB46" s="453" t="e">
        <f>F46/#REF!*100</f>
        <v>#REF!</v>
      </c>
    </row>
    <row r="47" spans="1:29" ht="17.45" hidden="1" customHeight="1">
      <c r="A47" s="2534">
        <v>722434</v>
      </c>
      <c r="B47" s="2532" t="s">
        <v>89</v>
      </c>
      <c r="C47" s="2518"/>
      <c r="D47" s="2519"/>
      <c r="E47" s="2520"/>
      <c r="F47" s="2533">
        <f t="shared" si="10"/>
        <v>0</v>
      </c>
      <c r="G47" s="2518"/>
      <c r="H47" s="2519"/>
      <c r="I47" s="2520"/>
      <c r="J47" s="2533">
        <f t="shared" si="11"/>
        <v>0</v>
      </c>
      <c r="K47" s="2515" t="e">
        <f t="shared" si="1"/>
        <v>#DIV/0!</v>
      </c>
      <c r="L47" s="880"/>
      <c r="M47" s="880"/>
      <c r="N47" s="880"/>
      <c r="O47" s="880"/>
      <c r="P47" s="880"/>
      <c r="Q47" s="880"/>
      <c r="R47" s="880"/>
      <c r="S47" s="877">
        <f t="shared" si="2"/>
        <v>0</v>
      </c>
      <c r="T47" s="879"/>
      <c r="U47" s="879"/>
      <c r="V47" s="879"/>
      <c r="W47" s="877">
        <f t="shared" si="3"/>
        <v>0</v>
      </c>
      <c r="X47" s="267">
        <f t="shared" si="0"/>
        <v>0</v>
      </c>
      <c r="Y47" s="267">
        <f t="shared" si="4"/>
        <v>0</v>
      </c>
      <c r="Z47" s="475"/>
      <c r="AA47" s="475"/>
      <c r="AB47" s="453" t="e">
        <f>F47/#REF!*100</f>
        <v>#REF!</v>
      </c>
    </row>
    <row r="48" spans="1:29" ht="17.45" hidden="1" customHeight="1">
      <c r="A48" s="2534">
        <v>722434</v>
      </c>
      <c r="B48" s="2532" t="s">
        <v>89</v>
      </c>
      <c r="C48" s="2518"/>
      <c r="D48" s="2519"/>
      <c r="E48" s="2520"/>
      <c r="F48" s="2533">
        <f t="shared" si="10"/>
        <v>0</v>
      </c>
      <c r="G48" s="2518"/>
      <c r="H48" s="2519"/>
      <c r="I48" s="2520"/>
      <c r="J48" s="2533">
        <f t="shared" si="11"/>
        <v>0</v>
      </c>
      <c r="K48" s="2515" t="e">
        <f t="shared" si="1"/>
        <v>#DIV/0!</v>
      </c>
      <c r="L48" s="880"/>
      <c r="M48" s="880"/>
      <c r="N48" s="880"/>
      <c r="O48" s="880"/>
      <c r="P48" s="880"/>
      <c r="Q48" s="880"/>
      <c r="R48" s="880"/>
      <c r="S48" s="877">
        <f t="shared" si="2"/>
        <v>0</v>
      </c>
      <c r="T48" s="879"/>
      <c r="U48" s="879"/>
      <c r="V48" s="879"/>
      <c r="W48" s="877">
        <f t="shared" si="3"/>
        <v>0</v>
      </c>
      <c r="X48" s="267">
        <f t="shared" si="0"/>
        <v>0</v>
      </c>
      <c r="Y48" s="267">
        <f t="shared" si="4"/>
        <v>0</v>
      </c>
      <c r="Z48" s="475"/>
      <c r="AA48" s="475"/>
      <c r="AB48" s="453" t="e">
        <f>F48/#REF!*100</f>
        <v>#REF!</v>
      </c>
    </row>
    <row r="49" spans="1:28" ht="17.45" hidden="1" customHeight="1">
      <c r="A49" s="2516">
        <v>722435</v>
      </c>
      <c r="B49" s="2532" t="s">
        <v>89</v>
      </c>
      <c r="C49" s="2518"/>
      <c r="D49" s="2519"/>
      <c r="E49" s="2520"/>
      <c r="F49" s="2533">
        <f t="shared" si="10"/>
        <v>0</v>
      </c>
      <c r="G49" s="2518"/>
      <c r="H49" s="2519"/>
      <c r="I49" s="2520"/>
      <c r="J49" s="2533">
        <f t="shared" si="11"/>
        <v>0</v>
      </c>
      <c r="K49" s="2515" t="e">
        <f t="shared" si="1"/>
        <v>#DIV/0!</v>
      </c>
      <c r="L49" s="880"/>
      <c r="M49" s="880"/>
      <c r="N49" s="880"/>
      <c r="O49" s="880"/>
      <c r="P49" s="880"/>
      <c r="Q49" s="880"/>
      <c r="R49" s="880"/>
      <c r="S49" s="877">
        <f t="shared" si="2"/>
        <v>0</v>
      </c>
      <c r="T49" s="879"/>
      <c r="U49" s="879"/>
      <c r="V49" s="879"/>
      <c r="W49" s="877">
        <f t="shared" si="3"/>
        <v>0</v>
      </c>
      <c r="X49" s="267">
        <f t="shared" si="0"/>
        <v>0</v>
      </c>
      <c r="Y49" s="267">
        <f t="shared" si="4"/>
        <v>0</v>
      </c>
      <c r="Z49" s="475"/>
      <c r="AA49" s="475"/>
      <c r="AB49" s="453" t="e">
        <f>F49/#REF!*100</f>
        <v>#REF!</v>
      </c>
    </row>
    <row r="50" spans="1:28" ht="17.45" hidden="1" customHeight="1">
      <c r="A50" s="2516">
        <v>722435</v>
      </c>
      <c r="B50" s="2532" t="s">
        <v>89</v>
      </c>
      <c r="C50" s="2518"/>
      <c r="D50" s="2519"/>
      <c r="E50" s="2520"/>
      <c r="F50" s="2533">
        <f t="shared" si="10"/>
        <v>0</v>
      </c>
      <c r="G50" s="2518"/>
      <c r="H50" s="2519"/>
      <c r="I50" s="2520"/>
      <c r="J50" s="2533">
        <f t="shared" si="11"/>
        <v>0</v>
      </c>
      <c r="K50" s="2515" t="e">
        <f t="shared" si="1"/>
        <v>#DIV/0!</v>
      </c>
      <c r="L50" s="880"/>
      <c r="M50" s="880"/>
      <c r="N50" s="880"/>
      <c r="O50" s="880"/>
      <c r="P50" s="880"/>
      <c r="Q50" s="880"/>
      <c r="R50" s="880"/>
      <c r="S50" s="877">
        <f t="shared" si="2"/>
        <v>0</v>
      </c>
      <c r="T50" s="879"/>
      <c r="U50" s="879"/>
      <c r="V50" s="879"/>
      <c r="W50" s="877">
        <f t="shared" si="3"/>
        <v>0</v>
      </c>
      <c r="X50" s="267">
        <f t="shared" si="0"/>
        <v>0</v>
      </c>
      <c r="Y50" s="267">
        <f t="shared" si="4"/>
        <v>0</v>
      </c>
      <c r="Z50" s="475"/>
      <c r="AA50" s="475"/>
      <c r="AB50" s="453" t="e">
        <f>F50/#REF!*100</f>
        <v>#REF!</v>
      </c>
    </row>
    <row r="51" spans="1:28" ht="17.45" hidden="1" customHeight="1">
      <c r="A51" s="2516"/>
      <c r="B51" s="2532" t="s">
        <v>89</v>
      </c>
      <c r="C51" s="2518"/>
      <c r="D51" s="2519"/>
      <c r="E51" s="2520"/>
      <c r="F51" s="2533">
        <f t="shared" si="10"/>
        <v>0</v>
      </c>
      <c r="G51" s="2518"/>
      <c r="H51" s="2519"/>
      <c r="I51" s="2520"/>
      <c r="J51" s="2533">
        <f t="shared" si="11"/>
        <v>0</v>
      </c>
      <c r="K51" s="2515" t="e">
        <f t="shared" si="1"/>
        <v>#DIV/0!</v>
      </c>
      <c r="L51" s="880"/>
      <c r="M51" s="880"/>
      <c r="N51" s="880"/>
      <c r="O51" s="880"/>
      <c r="P51" s="880"/>
      <c r="Q51" s="880"/>
      <c r="R51" s="880"/>
      <c r="S51" s="877">
        <f t="shared" si="2"/>
        <v>0</v>
      </c>
      <c r="T51" s="879"/>
      <c r="U51" s="879"/>
      <c r="V51" s="879"/>
      <c r="W51" s="877">
        <f t="shared" si="3"/>
        <v>0</v>
      </c>
      <c r="X51" s="267">
        <f t="shared" si="0"/>
        <v>0</v>
      </c>
      <c r="Y51" s="267">
        <f t="shared" si="4"/>
        <v>0</v>
      </c>
      <c r="Z51" s="475"/>
      <c r="AA51" s="475"/>
      <c r="AB51" s="453" t="e">
        <f>F51/#REF!*100</f>
        <v>#REF!</v>
      </c>
    </row>
    <row r="52" spans="1:28" ht="30" customHeight="1">
      <c r="A52" s="2516"/>
      <c r="B52" s="2532" t="s">
        <v>871</v>
      </c>
      <c r="C52" s="2518"/>
      <c r="D52" s="2519">
        <v>368973</v>
      </c>
      <c r="E52" s="2520"/>
      <c r="F52" s="2533">
        <f t="shared" si="10"/>
        <v>368973</v>
      </c>
      <c r="G52" s="2518"/>
      <c r="H52" s="2519"/>
      <c r="I52" s="2520"/>
      <c r="J52" s="2533">
        <f t="shared" si="11"/>
        <v>0</v>
      </c>
      <c r="K52" s="2515">
        <f t="shared" si="1"/>
        <v>0</v>
      </c>
      <c r="L52" s="880"/>
      <c r="M52" s="880"/>
      <c r="N52" s="880"/>
      <c r="O52" s="880"/>
      <c r="P52" s="880"/>
      <c r="Q52" s="880"/>
      <c r="R52" s="880"/>
      <c r="S52" s="877">
        <f t="shared" si="2"/>
        <v>0</v>
      </c>
      <c r="T52" s="879"/>
      <c r="U52" s="879"/>
      <c r="V52" s="879"/>
      <c r="W52" s="877">
        <f t="shared" si="3"/>
        <v>0</v>
      </c>
      <c r="X52" s="267">
        <f t="shared" si="0"/>
        <v>0</v>
      </c>
      <c r="Y52" s="267">
        <f t="shared" si="4"/>
        <v>-368973</v>
      </c>
      <c r="Z52" s="475"/>
      <c r="AA52" s="475"/>
      <c r="AB52" s="453" t="e">
        <f>F52/#REF!*100</f>
        <v>#REF!</v>
      </c>
    </row>
    <row r="53" spans="1:28" ht="25.5" customHeight="1">
      <c r="A53" s="2509"/>
      <c r="B53" s="2532" t="s">
        <v>95</v>
      </c>
      <c r="C53" s="2518"/>
      <c r="D53" s="2519">
        <v>1215065</v>
      </c>
      <c r="E53" s="2523"/>
      <c r="F53" s="2533">
        <f t="shared" si="10"/>
        <v>1215065</v>
      </c>
      <c r="G53" s="2518"/>
      <c r="H53" s="2519">
        <v>820000</v>
      </c>
      <c r="I53" s="2523"/>
      <c r="J53" s="2533">
        <f t="shared" si="11"/>
        <v>820000</v>
      </c>
      <c r="K53" s="2515">
        <f t="shared" si="1"/>
        <v>67.48610156658286</v>
      </c>
      <c r="L53" s="880"/>
      <c r="M53" s="880"/>
      <c r="N53" s="880"/>
      <c r="O53" s="880"/>
      <c r="P53" s="880"/>
      <c r="Q53" s="880"/>
      <c r="R53" s="880"/>
      <c r="S53" s="877">
        <f t="shared" si="2"/>
        <v>0</v>
      </c>
      <c r="T53" s="879"/>
      <c r="U53" s="879"/>
      <c r="V53" s="879"/>
      <c r="W53" s="877">
        <f t="shared" si="3"/>
        <v>0</v>
      </c>
      <c r="X53" s="267">
        <f t="shared" si="0"/>
        <v>0</v>
      </c>
      <c r="Y53" s="267">
        <f t="shared" si="4"/>
        <v>-1215065</v>
      </c>
      <c r="Z53" s="475"/>
      <c r="AA53" s="475"/>
      <c r="AB53" s="453" t="e">
        <f>F53/#REF!*100</f>
        <v>#REF!</v>
      </c>
    </row>
    <row r="54" spans="1:28" ht="17.45" hidden="1" customHeight="1">
      <c r="A54" s="2531">
        <v>721211</v>
      </c>
      <c r="B54" s="2532" t="s">
        <v>95</v>
      </c>
      <c r="C54" s="2518"/>
      <c r="D54" s="2519"/>
      <c r="E54" s="2520"/>
      <c r="F54" s="2533">
        <f t="shared" si="10"/>
        <v>0</v>
      </c>
      <c r="G54" s="2518"/>
      <c r="H54" s="2519"/>
      <c r="I54" s="2520"/>
      <c r="J54" s="2533">
        <f t="shared" si="11"/>
        <v>0</v>
      </c>
      <c r="K54" s="2515" t="e">
        <f t="shared" si="1"/>
        <v>#DIV/0!</v>
      </c>
      <c r="L54" s="880"/>
      <c r="M54" s="880"/>
      <c r="N54" s="880"/>
      <c r="O54" s="880"/>
      <c r="P54" s="880"/>
      <c r="Q54" s="880"/>
      <c r="R54" s="880"/>
      <c r="S54" s="877">
        <f t="shared" si="2"/>
        <v>0</v>
      </c>
      <c r="T54" s="879"/>
      <c r="U54" s="879"/>
      <c r="V54" s="879"/>
      <c r="W54" s="877">
        <f t="shared" si="3"/>
        <v>0</v>
      </c>
      <c r="X54" s="267">
        <f t="shared" si="0"/>
        <v>0</v>
      </c>
      <c r="Y54" s="267">
        <f t="shared" si="4"/>
        <v>0</v>
      </c>
      <c r="Z54" s="475"/>
      <c r="AA54" s="475"/>
      <c r="AB54" s="453" t="e">
        <f>F54/#REF!*100</f>
        <v>#REF!</v>
      </c>
    </row>
    <row r="55" spans="1:28" ht="17.45" hidden="1" customHeight="1">
      <c r="A55" s="2516">
        <v>722431</v>
      </c>
      <c r="B55" s="2532" t="s">
        <v>95</v>
      </c>
      <c r="C55" s="2518"/>
      <c r="D55" s="2519"/>
      <c r="E55" s="2520"/>
      <c r="F55" s="2533">
        <f t="shared" si="10"/>
        <v>0</v>
      </c>
      <c r="G55" s="2518"/>
      <c r="H55" s="2519"/>
      <c r="I55" s="2520"/>
      <c r="J55" s="2533">
        <f t="shared" si="11"/>
        <v>0</v>
      </c>
      <c r="K55" s="2515" t="e">
        <f t="shared" si="1"/>
        <v>#DIV/0!</v>
      </c>
      <c r="L55" s="880"/>
      <c r="M55" s="880"/>
      <c r="N55" s="880"/>
      <c r="O55" s="880"/>
      <c r="P55" s="880"/>
      <c r="Q55" s="880"/>
      <c r="R55" s="880"/>
      <c r="S55" s="877">
        <f t="shared" si="2"/>
        <v>0</v>
      </c>
      <c r="T55" s="879"/>
      <c r="U55" s="879"/>
      <c r="V55" s="879"/>
      <c r="W55" s="877">
        <f t="shared" si="3"/>
        <v>0</v>
      </c>
      <c r="X55" s="267">
        <f t="shared" si="0"/>
        <v>0</v>
      </c>
      <c r="Y55" s="267">
        <f t="shared" si="4"/>
        <v>0</v>
      </c>
      <c r="Z55" s="475"/>
      <c r="AA55" s="475"/>
      <c r="AB55" s="453" t="e">
        <f>F55/#REF!*100</f>
        <v>#REF!</v>
      </c>
    </row>
    <row r="56" spans="1:28" ht="17.45" hidden="1" customHeight="1">
      <c r="A56" s="2534">
        <v>722433</v>
      </c>
      <c r="B56" s="2532" t="s">
        <v>95</v>
      </c>
      <c r="C56" s="2518"/>
      <c r="D56" s="2519"/>
      <c r="E56" s="2520"/>
      <c r="F56" s="2533">
        <f t="shared" si="10"/>
        <v>0</v>
      </c>
      <c r="G56" s="2518"/>
      <c r="H56" s="2519"/>
      <c r="I56" s="2520"/>
      <c r="J56" s="2533">
        <f t="shared" si="11"/>
        <v>0</v>
      </c>
      <c r="K56" s="2515" t="e">
        <f t="shared" si="1"/>
        <v>#DIV/0!</v>
      </c>
      <c r="L56" s="880"/>
      <c r="M56" s="880"/>
      <c r="N56" s="880"/>
      <c r="O56" s="880"/>
      <c r="P56" s="880"/>
      <c r="Q56" s="880"/>
      <c r="R56" s="880"/>
      <c r="S56" s="877">
        <f t="shared" si="2"/>
        <v>0</v>
      </c>
      <c r="T56" s="879"/>
      <c r="U56" s="879"/>
      <c r="V56" s="879"/>
      <c r="W56" s="877">
        <f t="shared" si="3"/>
        <v>0</v>
      </c>
      <c r="X56" s="267">
        <f t="shared" si="0"/>
        <v>0</v>
      </c>
      <c r="Y56" s="267">
        <f t="shared" si="4"/>
        <v>0</v>
      </c>
      <c r="Z56" s="475"/>
      <c r="AA56" s="475"/>
      <c r="AB56" s="453" t="e">
        <f>F56/#REF!*100</f>
        <v>#REF!</v>
      </c>
    </row>
    <row r="57" spans="1:28" ht="17.45" hidden="1" customHeight="1">
      <c r="A57" s="2534">
        <v>722434</v>
      </c>
      <c r="B57" s="2532" t="s">
        <v>95</v>
      </c>
      <c r="C57" s="2518"/>
      <c r="D57" s="2519"/>
      <c r="E57" s="2520"/>
      <c r="F57" s="2533">
        <f t="shared" si="10"/>
        <v>0</v>
      </c>
      <c r="G57" s="2518"/>
      <c r="H57" s="2519"/>
      <c r="I57" s="2520"/>
      <c r="J57" s="2533">
        <f t="shared" si="11"/>
        <v>0</v>
      </c>
      <c r="K57" s="2515" t="e">
        <f t="shared" si="1"/>
        <v>#DIV/0!</v>
      </c>
      <c r="L57" s="880"/>
      <c r="M57" s="880"/>
      <c r="N57" s="880"/>
      <c r="O57" s="880"/>
      <c r="P57" s="880"/>
      <c r="Q57" s="880"/>
      <c r="R57" s="880"/>
      <c r="S57" s="877">
        <f t="shared" si="2"/>
        <v>0</v>
      </c>
      <c r="T57" s="879"/>
      <c r="U57" s="879"/>
      <c r="V57" s="879"/>
      <c r="W57" s="877">
        <f t="shared" si="3"/>
        <v>0</v>
      </c>
      <c r="X57" s="267">
        <f t="shared" si="0"/>
        <v>0</v>
      </c>
      <c r="Y57" s="267">
        <f t="shared" si="4"/>
        <v>0</v>
      </c>
      <c r="Z57" s="475"/>
      <c r="AA57" s="475"/>
      <c r="AB57" s="453" t="e">
        <f>F57/#REF!*100</f>
        <v>#REF!</v>
      </c>
    </row>
    <row r="58" spans="1:28" ht="17.45" hidden="1" customHeight="1">
      <c r="A58" s="2516">
        <v>722435</v>
      </c>
      <c r="B58" s="2532" t="s">
        <v>95</v>
      </c>
      <c r="C58" s="2518"/>
      <c r="D58" s="2519"/>
      <c r="E58" s="2520"/>
      <c r="F58" s="2533">
        <f t="shared" si="10"/>
        <v>0</v>
      </c>
      <c r="G58" s="2518"/>
      <c r="H58" s="2519"/>
      <c r="I58" s="2520"/>
      <c r="J58" s="2533">
        <f t="shared" si="11"/>
        <v>0</v>
      </c>
      <c r="K58" s="2515" t="e">
        <f t="shared" si="1"/>
        <v>#DIV/0!</v>
      </c>
      <c r="L58" s="880"/>
      <c r="M58" s="880"/>
      <c r="N58" s="880"/>
      <c r="O58" s="880"/>
      <c r="P58" s="880"/>
      <c r="Q58" s="880"/>
      <c r="R58" s="880"/>
      <c r="S58" s="877">
        <f t="shared" si="2"/>
        <v>0</v>
      </c>
      <c r="T58" s="879"/>
      <c r="U58" s="879"/>
      <c r="V58" s="879"/>
      <c r="W58" s="877">
        <f t="shared" si="3"/>
        <v>0</v>
      </c>
      <c r="X58" s="267">
        <f t="shared" si="0"/>
        <v>0</v>
      </c>
      <c r="Y58" s="267">
        <f t="shared" si="4"/>
        <v>0</v>
      </c>
      <c r="Z58" s="475"/>
      <c r="AA58" s="475"/>
      <c r="AB58" s="453" t="e">
        <f>F58/#REF!*100</f>
        <v>#REF!</v>
      </c>
    </row>
    <row r="59" spans="1:28" ht="17.45" hidden="1" customHeight="1">
      <c r="A59" s="2516"/>
      <c r="B59" s="2532" t="s">
        <v>95</v>
      </c>
      <c r="C59" s="2518"/>
      <c r="D59" s="2519"/>
      <c r="E59" s="2520"/>
      <c r="F59" s="2533">
        <f t="shared" si="10"/>
        <v>0</v>
      </c>
      <c r="G59" s="2518"/>
      <c r="H59" s="2519"/>
      <c r="I59" s="2520"/>
      <c r="J59" s="2533">
        <f t="shared" si="11"/>
        <v>0</v>
      </c>
      <c r="K59" s="2515" t="e">
        <f t="shared" si="1"/>
        <v>#DIV/0!</v>
      </c>
      <c r="L59" s="880"/>
      <c r="M59" s="880"/>
      <c r="N59" s="880"/>
      <c r="O59" s="880"/>
      <c r="P59" s="880"/>
      <c r="Q59" s="880"/>
      <c r="R59" s="880"/>
      <c r="S59" s="877">
        <f t="shared" si="2"/>
        <v>0</v>
      </c>
      <c r="T59" s="879"/>
      <c r="U59" s="879"/>
      <c r="V59" s="879"/>
      <c r="W59" s="877">
        <f t="shared" si="3"/>
        <v>0</v>
      </c>
      <c r="X59" s="267">
        <f t="shared" si="0"/>
        <v>0</v>
      </c>
      <c r="Y59" s="267">
        <f t="shared" si="4"/>
        <v>0</v>
      </c>
      <c r="Z59" s="475"/>
      <c r="AA59" s="475"/>
      <c r="AB59" s="453" t="e">
        <f>F59/#REF!*100</f>
        <v>#REF!</v>
      </c>
    </row>
    <row r="60" spans="1:28" ht="36" customHeight="1">
      <c r="A60" s="2516"/>
      <c r="B60" s="2532" t="s">
        <v>872</v>
      </c>
      <c r="C60" s="2518"/>
      <c r="D60" s="1675">
        <v>484220.64</v>
      </c>
      <c r="E60" s="2520"/>
      <c r="F60" s="2533">
        <f t="shared" si="10"/>
        <v>484220.64</v>
      </c>
      <c r="G60" s="2518"/>
      <c r="H60" s="1675"/>
      <c r="I60" s="2520"/>
      <c r="J60" s="2533">
        <f t="shared" si="11"/>
        <v>0</v>
      </c>
      <c r="K60" s="2515">
        <f t="shared" si="1"/>
        <v>0</v>
      </c>
      <c r="L60" s="880"/>
      <c r="M60" s="880"/>
      <c r="N60" s="880"/>
      <c r="O60" s="880"/>
      <c r="P60" s="880"/>
      <c r="Q60" s="880"/>
      <c r="R60" s="880"/>
      <c r="S60" s="877">
        <f t="shared" si="2"/>
        <v>0</v>
      </c>
      <c r="T60" s="879"/>
      <c r="U60" s="879"/>
      <c r="V60" s="879"/>
      <c r="W60" s="877">
        <f t="shared" si="3"/>
        <v>0</v>
      </c>
      <c r="X60" s="267">
        <f t="shared" si="0"/>
        <v>0</v>
      </c>
      <c r="Y60" s="267">
        <f t="shared" si="4"/>
        <v>-484220.64</v>
      </c>
      <c r="Z60" s="475"/>
      <c r="AA60" s="475"/>
      <c r="AB60" s="453" t="e">
        <f>F60/#REF!*100</f>
        <v>#REF!</v>
      </c>
    </row>
    <row r="61" spans="1:28" ht="26.25" customHeight="1">
      <c r="A61" s="2516"/>
      <c r="B61" s="2532" t="s">
        <v>99</v>
      </c>
      <c r="C61" s="2518"/>
      <c r="D61" s="2519">
        <v>414040</v>
      </c>
      <c r="E61" s="2523"/>
      <c r="F61" s="2533">
        <f t="shared" si="10"/>
        <v>414040</v>
      </c>
      <c r="G61" s="2518"/>
      <c r="H61" s="2519">
        <v>200000</v>
      </c>
      <c r="I61" s="2523"/>
      <c r="J61" s="2533">
        <f t="shared" si="11"/>
        <v>200000</v>
      </c>
      <c r="K61" s="2515">
        <f t="shared" si="1"/>
        <v>48.304511641387307</v>
      </c>
      <c r="L61" s="880"/>
      <c r="M61" s="880"/>
      <c r="N61" s="880"/>
      <c r="O61" s="880"/>
      <c r="P61" s="880"/>
      <c r="Q61" s="880"/>
      <c r="R61" s="880"/>
      <c r="S61" s="877">
        <f t="shared" si="2"/>
        <v>0</v>
      </c>
      <c r="T61" s="879"/>
      <c r="U61" s="879"/>
      <c r="V61" s="879"/>
      <c r="W61" s="877">
        <f t="shared" si="3"/>
        <v>0</v>
      </c>
      <c r="X61" s="267">
        <f t="shared" si="0"/>
        <v>0</v>
      </c>
      <c r="Y61" s="267">
        <f t="shared" si="4"/>
        <v>-414040</v>
      </c>
      <c r="Z61" s="475"/>
      <c r="AA61" s="475"/>
      <c r="AB61" s="453" t="e">
        <f>F61/#REF!*100</f>
        <v>#REF!</v>
      </c>
    </row>
    <row r="62" spans="1:28" ht="17.45" hidden="1" customHeight="1">
      <c r="A62" s="2531">
        <v>721211</v>
      </c>
      <c r="B62" s="2532" t="s">
        <v>99</v>
      </c>
      <c r="C62" s="2518"/>
      <c r="D62" s="2519"/>
      <c r="E62" s="2520"/>
      <c r="F62" s="2533">
        <f t="shared" si="10"/>
        <v>0</v>
      </c>
      <c r="G62" s="2518"/>
      <c r="H62" s="2519"/>
      <c r="I62" s="2520"/>
      <c r="J62" s="2533">
        <f t="shared" si="11"/>
        <v>0</v>
      </c>
      <c r="K62" s="2515" t="e">
        <f t="shared" si="1"/>
        <v>#DIV/0!</v>
      </c>
      <c r="L62" s="880"/>
      <c r="M62" s="880"/>
      <c r="N62" s="880"/>
      <c r="O62" s="880"/>
      <c r="P62" s="880"/>
      <c r="Q62" s="880"/>
      <c r="R62" s="880"/>
      <c r="S62" s="877">
        <f t="shared" si="2"/>
        <v>0</v>
      </c>
      <c r="T62" s="879"/>
      <c r="U62" s="879"/>
      <c r="V62" s="879"/>
      <c r="W62" s="877">
        <f t="shared" si="3"/>
        <v>0</v>
      </c>
      <c r="X62" s="267">
        <f t="shared" si="0"/>
        <v>0</v>
      </c>
      <c r="Y62" s="267">
        <f t="shared" si="4"/>
        <v>0</v>
      </c>
      <c r="Z62" s="475"/>
      <c r="AA62" s="475"/>
      <c r="AB62" s="453" t="e">
        <f>F62/#REF!*100</f>
        <v>#REF!</v>
      </c>
    </row>
    <row r="63" spans="1:28" ht="17.45" hidden="1" customHeight="1">
      <c r="A63" s="2516">
        <v>722431</v>
      </c>
      <c r="B63" s="2532" t="s">
        <v>99</v>
      </c>
      <c r="C63" s="2518"/>
      <c r="D63" s="2519"/>
      <c r="E63" s="2520"/>
      <c r="F63" s="2533">
        <f t="shared" si="10"/>
        <v>0</v>
      </c>
      <c r="G63" s="2518"/>
      <c r="H63" s="2519"/>
      <c r="I63" s="2520"/>
      <c r="J63" s="2533">
        <f t="shared" si="11"/>
        <v>0</v>
      </c>
      <c r="K63" s="2515" t="e">
        <f t="shared" si="1"/>
        <v>#DIV/0!</v>
      </c>
      <c r="L63" s="880"/>
      <c r="M63" s="880"/>
      <c r="N63" s="880"/>
      <c r="O63" s="880"/>
      <c r="P63" s="880"/>
      <c r="Q63" s="880"/>
      <c r="R63" s="880"/>
      <c r="S63" s="877">
        <f t="shared" si="2"/>
        <v>0</v>
      </c>
      <c r="T63" s="879"/>
      <c r="U63" s="879"/>
      <c r="V63" s="879"/>
      <c r="W63" s="877">
        <f t="shared" si="3"/>
        <v>0</v>
      </c>
      <c r="X63" s="267">
        <f t="shared" si="0"/>
        <v>0</v>
      </c>
      <c r="Y63" s="267">
        <f t="shared" si="4"/>
        <v>0</v>
      </c>
      <c r="Z63" s="475"/>
      <c r="AA63" s="475"/>
      <c r="AB63" s="453" t="e">
        <f>F63/#REF!*100</f>
        <v>#REF!</v>
      </c>
    </row>
    <row r="64" spans="1:28" ht="17.45" hidden="1" customHeight="1">
      <c r="A64" s="2534">
        <v>722433</v>
      </c>
      <c r="B64" s="2532" t="s">
        <v>99</v>
      </c>
      <c r="C64" s="2518"/>
      <c r="D64" s="2519"/>
      <c r="E64" s="2520"/>
      <c r="F64" s="2533">
        <f t="shared" si="10"/>
        <v>0</v>
      </c>
      <c r="G64" s="2518"/>
      <c r="H64" s="2519"/>
      <c r="I64" s="2520"/>
      <c r="J64" s="2533">
        <f t="shared" si="11"/>
        <v>0</v>
      </c>
      <c r="K64" s="2515" t="e">
        <f t="shared" si="1"/>
        <v>#DIV/0!</v>
      </c>
      <c r="L64" s="880"/>
      <c r="M64" s="880"/>
      <c r="N64" s="880"/>
      <c r="O64" s="880"/>
      <c r="P64" s="880"/>
      <c r="Q64" s="880"/>
      <c r="R64" s="880"/>
      <c r="S64" s="877">
        <f t="shared" si="2"/>
        <v>0</v>
      </c>
      <c r="T64" s="879"/>
      <c r="U64" s="879"/>
      <c r="V64" s="879"/>
      <c r="W64" s="877">
        <f t="shared" si="3"/>
        <v>0</v>
      </c>
      <c r="X64" s="267">
        <f t="shared" si="0"/>
        <v>0</v>
      </c>
      <c r="Y64" s="267">
        <f t="shared" si="4"/>
        <v>0</v>
      </c>
      <c r="Z64" s="475"/>
      <c r="AA64" s="475"/>
      <c r="AB64" s="453" t="e">
        <f>F64/#REF!*100</f>
        <v>#REF!</v>
      </c>
    </row>
    <row r="65" spans="1:28" ht="17.45" hidden="1" customHeight="1">
      <c r="A65" s="2534">
        <v>722434</v>
      </c>
      <c r="B65" s="2532" t="s">
        <v>99</v>
      </c>
      <c r="C65" s="2518"/>
      <c r="D65" s="2519"/>
      <c r="E65" s="2520"/>
      <c r="F65" s="2533">
        <f t="shared" si="10"/>
        <v>0</v>
      </c>
      <c r="G65" s="2518"/>
      <c r="H65" s="2519"/>
      <c r="I65" s="2520"/>
      <c r="J65" s="2533">
        <f t="shared" si="11"/>
        <v>0</v>
      </c>
      <c r="K65" s="2515" t="e">
        <f t="shared" si="1"/>
        <v>#DIV/0!</v>
      </c>
      <c r="L65" s="880"/>
      <c r="M65" s="880"/>
      <c r="N65" s="880"/>
      <c r="O65" s="880"/>
      <c r="P65" s="880"/>
      <c r="Q65" s="880"/>
      <c r="R65" s="880"/>
      <c r="S65" s="877">
        <f t="shared" si="2"/>
        <v>0</v>
      </c>
      <c r="T65" s="879"/>
      <c r="U65" s="879"/>
      <c r="V65" s="879"/>
      <c r="W65" s="877">
        <f t="shared" si="3"/>
        <v>0</v>
      </c>
      <c r="X65" s="267">
        <f t="shared" si="0"/>
        <v>0</v>
      </c>
      <c r="Y65" s="267">
        <f t="shared" si="4"/>
        <v>0</v>
      </c>
      <c r="Z65" s="475"/>
      <c r="AA65" s="475"/>
      <c r="AB65" s="453" t="e">
        <f>F65/#REF!*100</f>
        <v>#REF!</v>
      </c>
    </row>
    <row r="66" spans="1:28" ht="17.45" hidden="1" customHeight="1">
      <c r="A66" s="2516">
        <v>722435</v>
      </c>
      <c r="B66" s="2532" t="s">
        <v>99</v>
      </c>
      <c r="C66" s="2518"/>
      <c r="D66" s="2519"/>
      <c r="E66" s="2520"/>
      <c r="F66" s="2533">
        <f t="shared" si="10"/>
        <v>0</v>
      </c>
      <c r="G66" s="2518"/>
      <c r="H66" s="2519"/>
      <c r="I66" s="2520"/>
      <c r="J66" s="2533">
        <f t="shared" si="11"/>
        <v>0</v>
      </c>
      <c r="K66" s="2515" t="e">
        <f t="shared" si="1"/>
        <v>#DIV/0!</v>
      </c>
      <c r="L66" s="880"/>
      <c r="M66" s="880"/>
      <c r="N66" s="880"/>
      <c r="O66" s="880"/>
      <c r="P66" s="880"/>
      <c r="Q66" s="880"/>
      <c r="R66" s="880"/>
      <c r="S66" s="877">
        <f t="shared" si="2"/>
        <v>0</v>
      </c>
      <c r="T66" s="879"/>
      <c r="U66" s="879"/>
      <c r="V66" s="879"/>
      <c r="W66" s="877">
        <f t="shared" si="3"/>
        <v>0</v>
      </c>
      <c r="X66" s="267">
        <f t="shared" si="0"/>
        <v>0</v>
      </c>
      <c r="Y66" s="267">
        <f t="shared" si="4"/>
        <v>0</v>
      </c>
      <c r="Z66" s="475"/>
      <c r="AA66" s="475"/>
      <c r="AB66" s="453" t="e">
        <f>F66/#REF!*100</f>
        <v>#REF!</v>
      </c>
    </row>
    <row r="67" spans="1:28" ht="17.45" hidden="1" customHeight="1">
      <c r="A67" s="2516">
        <v>722436</v>
      </c>
      <c r="B67" s="2532" t="s">
        <v>99</v>
      </c>
      <c r="C67" s="2518"/>
      <c r="D67" s="2519"/>
      <c r="E67" s="2520"/>
      <c r="F67" s="2533">
        <f t="shared" si="10"/>
        <v>0</v>
      </c>
      <c r="G67" s="2518"/>
      <c r="H67" s="2519"/>
      <c r="I67" s="2520"/>
      <c r="J67" s="2533">
        <f t="shared" si="11"/>
        <v>0</v>
      </c>
      <c r="K67" s="2515" t="e">
        <f t="shared" si="1"/>
        <v>#DIV/0!</v>
      </c>
      <c r="L67" s="880"/>
      <c r="M67" s="880"/>
      <c r="N67" s="880"/>
      <c r="O67" s="880"/>
      <c r="P67" s="880"/>
      <c r="Q67" s="880"/>
      <c r="R67" s="880"/>
      <c r="S67" s="877">
        <f t="shared" si="2"/>
        <v>0</v>
      </c>
      <c r="T67" s="879"/>
      <c r="U67" s="879"/>
      <c r="V67" s="879"/>
      <c r="W67" s="877">
        <f t="shared" si="3"/>
        <v>0</v>
      </c>
      <c r="X67" s="267">
        <f t="shared" si="0"/>
        <v>0</v>
      </c>
      <c r="Y67" s="267">
        <f t="shared" si="4"/>
        <v>0</v>
      </c>
      <c r="Z67" s="475"/>
      <c r="AA67" s="475"/>
      <c r="AB67" s="453" t="e">
        <f>F67/#REF!*100</f>
        <v>#REF!</v>
      </c>
    </row>
    <row r="68" spans="1:28" ht="37.5" customHeight="1">
      <c r="A68" s="2516"/>
      <c r="B68" s="2532" t="s">
        <v>873</v>
      </c>
      <c r="C68" s="2518"/>
      <c r="D68" s="2519">
        <v>324728.34999999998</v>
      </c>
      <c r="E68" s="2520"/>
      <c r="F68" s="2533">
        <f t="shared" si="10"/>
        <v>324728.34999999998</v>
      </c>
      <c r="G68" s="2518"/>
      <c r="H68" s="2519"/>
      <c r="I68" s="2520"/>
      <c r="J68" s="2533">
        <f t="shared" si="11"/>
        <v>0</v>
      </c>
      <c r="K68" s="2515">
        <f t="shared" si="1"/>
        <v>0</v>
      </c>
      <c r="L68" s="880"/>
      <c r="M68" s="880"/>
      <c r="N68" s="880"/>
      <c r="O68" s="880"/>
      <c r="P68" s="880"/>
      <c r="Q68" s="880"/>
      <c r="R68" s="880"/>
      <c r="S68" s="877">
        <f t="shared" si="2"/>
        <v>0</v>
      </c>
      <c r="T68" s="879"/>
      <c r="U68" s="879"/>
      <c r="V68" s="879"/>
      <c r="W68" s="877">
        <f t="shared" si="3"/>
        <v>0</v>
      </c>
      <c r="X68" s="267">
        <f t="shared" si="0"/>
        <v>0</v>
      </c>
      <c r="Y68" s="267">
        <f t="shared" si="4"/>
        <v>-324728.34999999998</v>
      </c>
      <c r="Z68" s="475"/>
      <c r="AA68" s="475"/>
      <c r="AB68" s="453" t="e">
        <f>F68/#REF!*100</f>
        <v>#REF!</v>
      </c>
    </row>
    <row r="69" spans="1:28" ht="33.75" customHeight="1">
      <c r="A69" s="2509"/>
      <c r="B69" s="2532" t="s">
        <v>103</v>
      </c>
      <c r="C69" s="2518"/>
      <c r="D69" s="1675">
        <v>193025</v>
      </c>
      <c r="E69" s="2523"/>
      <c r="F69" s="2533">
        <f t="shared" si="10"/>
        <v>193025</v>
      </c>
      <c r="G69" s="2518"/>
      <c r="H69" s="1675">
        <v>55000</v>
      </c>
      <c r="I69" s="2523"/>
      <c r="J69" s="2533">
        <f t="shared" si="11"/>
        <v>55000</v>
      </c>
      <c r="K69" s="2515">
        <f t="shared" si="1"/>
        <v>28.49371843025515</v>
      </c>
      <c r="L69" s="880"/>
      <c r="M69" s="880"/>
      <c r="N69" s="880"/>
      <c r="O69" s="880"/>
      <c r="P69" s="880"/>
      <c r="Q69" s="880"/>
      <c r="R69" s="880"/>
      <c r="S69" s="877">
        <f t="shared" si="2"/>
        <v>0</v>
      </c>
      <c r="T69" s="879"/>
      <c r="U69" s="879"/>
      <c r="V69" s="879"/>
      <c r="W69" s="877">
        <f t="shared" si="3"/>
        <v>0</v>
      </c>
      <c r="X69" s="267">
        <f t="shared" ref="X69:X131" si="12">C69+D69+E69-F69</f>
        <v>0</v>
      </c>
      <c r="Y69" s="267">
        <f t="shared" si="4"/>
        <v>-193025</v>
      </c>
      <c r="Z69" s="475"/>
      <c r="AA69" s="475"/>
      <c r="AB69" s="453" t="e">
        <f>F69/#REF!*100</f>
        <v>#REF!</v>
      </c>
    </row>
    <row r="70" spans="1:28" ht="17.45" hidden="1" customHeight="1">
      <c r="A70" s="2531">
        <v>721211</v>
      </c>
      <c r="B70" s="2532" t="s">
        <v>103</v>
      </c>
      <c r="C70" s="2518"/>
      <c r="D70" s="2519"/>
      <c r="E70" s="2520"/>
      <c r="F70" s="2533">
        <f t="shared" si="10"/>
        <v>0</v>
      </c>
      <c r="G70" s="2518"/>
      <c r="H70" s="2519"/>
      <c r="I70" s="2520"/>
      <c r="J70" s="2533">
        <f t="shared" si="11"/>
        <v>0</v>
      </c>
      <c r="K70" s="2515" t="e">
        <f t="shared" si="1"/>
        <v>#DIV/0!</v>
      </c>
      <c r="L70" s="880"/>
      <c r="M70" s="880"/>
      <c r="N70" s="880"/>
      <c r="O70" s="880"/>
      <c r="P70" s="880"/>
      <c r="Q70" s="880"/>
      <c r="R70" s="880"/>
      <c r="S70" s="877">
        <f t="shared" si="2"/>
        <v>0</v>
      </c>
      <c r="T70" s="879"/>
      <c r="U70" s="879"/>
      <c r="V70" s="879"/>
      <c r="W70" s="877">
        <f t="shared" si="3"/>
        <v>0</v>
      </c>
      <c r="X70" s="267">
        <f t="shared" si="12"/>
        <v>0</v>
      </c>
      <c r="Y70" s="267">
        <f t="shared" si="4"/>
        <v>0</v>
      </c>
      <c r="Z70" s="475"/>
      <c r="AA70" s="475"/>
      <c r="AB70" s="453" t="e">
        <f>F70/#REF!*100</f>
        <v>#REF!</v>
      </c>
    </row>
    <row r="71" spans="1:28" ht="17.45" hidden="1" customHeight="1">
      <c r="A71" s="2516">
        <v>722431</v>
      </c>
      <c r="B71" s="2532" t="s">
        <v>103</v>
      </c>
      <c r="C71" s="2518"/>
      <c r="D71" s="2519"/>
      <c r="E71" s="2520"/>
      <c r="F71" s="2533">
        <f t="shared" si="10"/>
        <v>0</v>
      </c>
      <c r="G71" s="2518"/>
      <c r="H71" s="2519"/>
      <c r="I71" s="2520"/>
      <c r="J71" s="2533">
        <f t="shared" si="11"/>
        <v>0</v>
      </c>
      <c r="K71" s="2515" t="e">
        <f t="shared" ref="K71:K134" si="13">J71/F71*100</f>
        <v>#DIV/0!</v>
      </c>
      <c r="L71" s="880"/>
      <c r="M71" s="880"/>
      <c r="N71" s="880"/>
      <c r="O71" s="880"/>
      <c r="P71" s="880"/>
      <c r="Q71" s="880"/>
      <c r="R71" s="880"/>
      <c r="S71" s="877">
        <f t="shared" ref="S71:S134" si="14">C71+D71+E71-F71</f>
        <v>0</v>
      </c>
      <c r="T71" s="879"/>
      <c r="U71" s="879"/>
      <c r="V71" s="879"/>
      <c r="W71" s="877">
        <f t="shared" ref="W71:W134" si="15">C71+D71+E71-F71</f>
        <v>0</v>
      </c>
      <c r="X71" s="267">
        <f t="shared" si="12"/>
        <v>0</v>
      </c>
      <c r="Y71" s="267">
        <f t="shared" ref="Y71:Y134" si="16">X71-F71</f>
        <v>0</v>
      </c>
      <c r="Z71" s="475"/>
      <c r="AA71" s="475"/>
      <c r="AB71" s="453" t="e">
        <f>F71/#REF!*100</f>
        <v>#REF!</v>
      </c>
    </row>
    <row r="72" spans="1:28" ht="17.45" hidden="1" customHeight="1">
      <c r="A72" s="2534">
        <v>722433</v>
      </c>
      <c r="B72" s="2532" t="s">
        <v>103</v>
      </c>
      <c r="C72" s="2518"/>
      <c r="D72" s="2519"/>
      <c r="E72" s="2520"/>
      <c r="F72" s="2533">
        <f t="shared" si="10"/>
        <v>0</v>
      </c>
      <c r="G72" s="2518"/>
      <c r="H72" s="2519"/>
      <c r="I72" s="2520"/>
      <c r="J72" s="2533">
        <f t="shared" si="11"/>
        <v>0</v>
      </c>
      <c r="K72" s="2515" t="e">
        <f t="shared" si="13"/>
        <v>#DIV/0!</v>
      </c>
      <c r="L72" s="880"/>
      <c r="M72" s="880"/>
      <c r="N72" s="880"/>
      <c r="O72" s="880"/>
      <c r="P72" s="880"/>
      <c r="Q72" s="880"/>
      <c r="R72" s="880"/>
      <c r="S72" s="877">
        <f t="shared" si="14"/>
        <v>0</v>
      </c>
      <c r="T72" s="879"/>
      <c r="U72" s="879"/>
      <c r="V72" s="879"/>
      <c r="W72" s="877">
        <f t="shared" si="15"/>
        <v>0</v>
      </c>
      <c r="X72" s="267">
        <f t="shared" si="12"/>
        <v>0</v>
      </c>
      <c r="Y72" s="267">
        <f t="shared" si="16"/>
        <v>0</v>
      </c>
      <c r="Z72" s="475"/>
      <c r="AA72" s="475"/>
      <c r="AB72" s="453" t="e">
        <f>F72/#REF!*100</f>
        <v>#REF!</v>
      </c>
    </row>
    <row r="73" spans="1:28" ht="17.45" hidden="1" customHeight="1">
      <c r="A73" s="2534">
        <v>722434</v>
      </c>
      <c r="B73" s="2532" t="s">
        <v>103</v>
      </c>
      <c r="C73" s="2518"/>
      <c r="D73" s="2519"/>
      <c r="E73" s="2520"/>
      <c r="F73" s="2533">
        <f t="shared" si="10"/>
        <v>0</v>
      </c>
      <c r="G73" s="2518"/>
      <c r="H73" s="2519"/>
      <c r="I73" s="2520"/>
      <c r="J73" s="2533">
        <f t="shared" si="11"/>
        <v>0</v>
      </c>
      <c r="K73" s="2515" t="e">
        <f t="shared" si="13"/>
        <v>#DIV/0!</v>
      </c>
      <c r="L73" s="880"/>
      <c r="M73" s="880"/>
      <c r="N73" s="880"/>
      <c r="O73" s="880"/>
      <c r="P73" s="880"/>
      <c r="Q73" s="880"/>
      <c r="R73" s="880"/>
      <c r="S73" s="877">
        <f t="shared" si="14"/>
        <v>0</v>
      </c>
      <c r="T73" s="879"/>
      <c r="U73" s="879"/>
      <c r="V73" s="879"/>
      <c r="W73" s="877">
        <f t="shared" si="15"/>
        <v>0</v>
      </c>
      <c r="X73" s="267">
        <f t="shared" si="12"/>
        <v>0</v>
      </c>
      <c r="Y73" s="267">
        <f t="shared" si="16"/>
        <v>0</v>
      </c>
      <c r="Z73" s="475"/>
      <c r="AA73" s="475"/>
      <c r="AB73" s="453" t="e">
        <f>F73/#REF!*100</f>
        <v>#REF!</v>
      </c>
    </row>
    <row r="74" spans="1:28" ht="17.45" hidden="1" customHeight="1">
      <c r="A74" s="2516">
        <v>722435</v>
      </c>
      <c r="B74" s="2532" t="s">
        <v>103</v>
      </c>
      <c r="C74" s="2518"/>
      <c r="D74" s="2519"/>
      <c r="E74" s="2520"/>
      <c r="F74" s="2533">
        <f t="shared" si="10"/>
        <v>0</v>
      </c>
      <c r="G74" s="2518"/>
      <c r="H74" s="2519"/>
      <c r="I74" s="2520"/>
      <c r="J74" s="2533">
        <f t="shared" si="11"/>
        <v>0</v>
      </c>
      <c r="K74" s="2515" t="e">
        <f t="shared" si="13"/>
        <v>#DIV/0!</v>
      </c>
      <c r="L74" s="880"/>
      <c r="M74" s="880"/>
      <c r="N74" s="880"/>
      <c r="O74" s="880"/>
      <c r="P74" s="880"/>
      <c r="Q74" s="880"/>
      <c r="R74" s="880"/>
      <c r="S74" s="877">
        <f t="shared" si="14"/>
        <v>0</v>
      </c>
      <c r="T74" s="879"/>
      <c r="U74" s="879"/>
      <c r="V74" s="879"/>
      <c r="W74" s="877">
        <f t="shared" si="15"/>
        <v>0</v>
      </c>
      <c r="X74" s="267">
        <f t="shared" si="12"/>
        <v>0</v>
      </c>
      <c r="Y74" s="267">
        <f t="shared" si="16"/>
        <v>0</v>
      </c>
      <c r="Z74" s="475"/>
      <c r="AA74" s="475"/>
      <c r="AB74" s="453" t="e">
        <f>F74/#REF!*100</f>
        <v>#REF!</v>
      </c>
    </row>
    <row r="75" spans="1:28" ht="17.45" hidden="1" customHeight="1">
      <c r="A75" s="2516">
        <v>722436</v>
      </c>
      <c r="B75" s="2532" t="s">
        <v>103</v>
      </c>
      <c r="C75" s="2518"/>
      <c r="D75" s="2519"/>
      <c r="E75" s="2520"/>
      <c r="F75" s="2533">
        <f t="shared" si="10"/>
        <v>0</v>
      </c>
      <c r="G75" s="2518"/>
      <c r="H75" s="2519"/>
      <c r="I75" s="2520"/>
      <c r="J75" s="2533">
        <f t="shared" si="11"/>
        <v>0</v>
      </c>
      <c r="K75" s="2515" t="e">
        <f t="shared" si="13"/>
        <v>#DIV/0!</v>
      </c>
      <c r="L75" s="880"/>
      <c r="M75" s="880"/>
      <c r="N75" s="880"/>
      <c r="O75" s="880"/>
      <c r="P75" s="880"/>
      <c r="Q75" s="880"/>
      <c r="R75" s="880"/>
      <c r="S75" s="877">
        <f t="shared" si="14"/>
        <v>0</v>
      </c>
      <c r="T75" s="879"/>
      <c r="U75" s="879"/>
      <c r="V75" s="879"/>
      <c r="W75" s="877">
        <f t="shared" si="15"/>
        <v>0</v>
      </c>
      <c r="X75" s="267">
        <f t="shared" si="12"/>
        <v>0</v>
      </c>
      <c r="Y75" s="267">
        <f t="shared" si="16"/>
        <v>0</v>
      </c>
      <c r="Z75" s="475"/>
      <c r="AA75" s="475"/>
      <c r="AB75" s="453" t="e">
        <f>F75/#REF!*100</f>
        <v>#REF!</v>
      </c>
    </row>
    <row r="76" spans="1:28" ht="17.45" hidden="1" customHeight="1">
      <c r="A76" s="2516"/>
      <c r="B76" s="2532" t="s">
        <v>103</v>
      </c>
      <c r="C76" s="2518"/>
      <c r="D76" s="2519"/>
      <c r="E76" s="2520"/>
      <c r="F76" s="2533">
        <f t="shared" si="10"/>
        <v>0</v>
      </c>
      <c r="G76" s="2518"/>
      <c r="H76" s="2519"/>
      <c r="I76" s="2520"/>
      <c r="J76" s="2533">
        <f t="shared" si="11"/>
        <v>0</v>
      </c>
      <c r="K76" s="2515" t="e">
        <f t="shared" si="13"/>
        <v>#DIV/0!</v>
      </c>
      <c r="L76" s="880"/>
      <c r="M76" s="880"/>
      <c r="N76" s="880"/>
      <c r="O76" s="880"/>
      <c r="P76" s="880"/>
      <c r="Q76" s="880"/>
      <c r="R76" s="880"/>
      <c r="S76" s="877">
        <f t="shared" si="14"/>
        <v>0</v>
      </c>
      <c r="T76" s="879"/>
      <c r="U76" s="879"/>
      <c r="V76" s="879"/>
      <c r="W76" s="877">
        <f t="shared" si="15"/>
        <v>0</v>
      </c>
      <c r="X76" s="267">
        <f t="shared" si="12"/>
        <v>0</v>
      </c>
      <c r="Y76" s="267">
        <f t="shared" si="16"/>
        <v>0</v>
      </c>
      <c r="Z76" s="475"/>
      <c r="AA76" s="475"/>
      <c r="AB76" s="453" t="e">
        <f>F76/#REF!*100</f>
        <v>#REF!</v>
      </c>
    </row>
    <row r="77" spans="1:28" ht="33.75" customHeight="1">
      <c r="A77" s="2516"/>
      <c r="B77" s="2532" t="s">
        <v>874</v>
      </c>
      <c r="C77" s="2518"/>
      <c r="D77" s="2519">
        <v>166249.48000000001</v>
      </c>
      <c r="E77" s="2520"/>
      <c r="F77" s="2533">
        <f t="shared" si="10"/>
        <v>166249.48000000001</v>
      </c>
      <c r="G77" s="2518"/>
      <c r="H77" s="2519"/>
      <c r="I77" s="2520"/>
      <c r="J77" s="2533">
        <f t="shared" si="11"/>
        <v>0</v>
      </c>
      <c r="K77" s="2515">
        <f t="shared" si="13"/>
        <v>0</v>
      </c>
      <c r="L77" s="880"/>
      <c r="M77" s="880"/>
      <c r="N77" s="880"/>
      <c r="O77" s="880"/>
      <c r="P77" s="880"/>
      <c r="Q77" s="880"/>
      <c r="R77" s="880"/>
      <c r="S77" s="877">
        <f t="shared" si="14"/>
        <v>0</v>
      </c>
      <c r="T77" s="879"/>
      <c r="U77" s="879"/>
      <c r="V77" s="879"/>
      <c r="W77" s="877">
        <f t="shared" si="15"/>
        <v>0</v>
      </c>
      <c r="X77" s="267">
        <f t="shared" si="12"/>
        <v>0</v>
      </c>
      <c r="Y77" s="267">
        <f t="shared" si="16"/>
        <v>-166249.48000000001</v>
      </c>
      <c r="Z77" s="475"/>
      <c r="AA77" s="475"/>
      <c r="AB77" s="453" t="e">
        <f>F77/#REF!*100</f>
        <v>#REF!</v>
      </c>
    </row>
    <row r="78" spans="1:28" ht="27.75" customHeight="1">
      <c r="A78" s="2509"/>
      <c r="B78" s="2532" t="s">
        <v>107</v>
      </c>
      <c r="C78" s="2518"/>
      <c r="D78" s="2519">
        <v>1550113</v>
      </c>
      <c r="E78" s="2523"/>
      <c r="F78" s="2533">
        <f t="shared" si="10"/>
        <v>1550113</v>
      </c>
      <c r="G78" s="2518"/>
      <c r="H78" s="2519">
        <v>1200000</v>
      </c>
      <c r="I78" s="2523"/>
      <c r="J78" s="2533">
        <f t="shared" si="11"/>
        <v>1200000</v>
      </c>
      <c r="K78" s="2515">
        <f t="shared" si="13"/>
        <v>77.413711129446696</v>
      </c>
      <c r="L78" s="880"/>
      <c r="M78" s="880"/>
      <c r="N78" s="880"/>
      <c r="O78" s="880"/>
      <c r="P78" s="880"/>
      <c r="Q78" s="880"/>
      <c r="R78" s="880"/>
      <c r="S78" s="877">
        <f t="shared" si="14"/>
        <v>0</v>
      </c>
      <c r="T78" s="879"/>
      <c r="U78" s="879"/>
      <c r="V78" s="879"/>
      <c r="W78" s="877">
        <f t="shared" si="15"/>
        <v>0</v>
      </c>
      <c r="X78" s="267">
        <f t="shared" si="12"/>
        <v>0</v>
      </c>
      <c r="Y78" s="267">
        <f t="shared" si="16"/>
        <v>-1550113</v>
      </c>
      <c r="Z78" s="475"/>
      <c r="AA78" s="475"/>
      <c r="AB78" s="453" t="e">
        <f>F78/#REF!*100</f>
        <v>#REF!</v>
      </c>
    </row>
    <row r="79" spans="1:28" ht="17.45" hidden="1" customHeight="1">
      <c r="A79" s="2531">
        <v>721211</v>
      </c>
      <c r="B79" s="2532" t="s">
        <v>107</v>
      </c>
      <c r="C79" s="2518"/>
      <c r="D79" s="2519"/>
      <c r="E79" s="2520"/>
      <c r="F79" s="2533">
        <f t="shared" si="10"/>
        <v>0</v>
      </c>
      <c r="G79" s="2518"/>
      <c r="H79" s="2519"/>
      <c r="I79" s="2520"/>
      <c r="J79" s="2533">
        <f t="shared" si="11"/>
        <v>0</v>
      </c>
      <c r="K79" s="2515" t="e">
        <f t="shared" si="13"/>
        <v>#DIV/0!</v>
      </c>
      <c r="L79" s="880"/>
      <c r="M79" s="880"/>
      <c r="N79" s="880"/>
      <c r="O79" s="880"/>
      <c r="P79" s="880"/>
      <c r="Q79" s="880"/>
      <c r="R79" s="880"/>
      <c r="S79" s="877">
        <f t="shared" si="14"/>
        <v>0</v>
      </c>
      <c r="T79" s="879"/>
      <c r="U79" s="879"/>
      <c r="V79" s="879"/>
      <c r="W79" s="877">
        <f t="shared" si="15"/>
        <v>0</v>
      </c>
      <c r="X79" s="267">
        <f t="shared" si="12"/>
        <v>0</v>
      </c>
      <c r="Y79" s="267">
        <f t="shared" si="16"/>
        <v>0</v>
      </c>
      <c r="Z79" s="475"/>
      <c r="AA79" s="475"/>
      <c r="AB79" s="453" t="e">
        <f>F79/#REF!*100</f>
        <v>#REF!</v>
      </c>
    </row>
    <row r="80" spans="1:28" ht="17.45" hidden="1" customHeight="1">
      <c r="A80" s="2516">
        <v>722431</v>
      </c>
      <c r="B80" s="2532" t="s">
        <v>107</v>
      </c>
      <c r="C80" s="2518"/>
      <c r="D80" s="2519"/>
      <c r="E80" s="2520"/>
      <c r="F80" s="2533">
        <f t="shared" si="10"/>
        <v>0</v>
      </c>
      <c r="G80" s="2518"/>
      <c r="H80" s="2519"/>
      <c r="I80" s="2520"/>
      <c r="J80" s="2533">
        <f t="shared" si="11"/>
        <v>0</v>
      </c>
      <c r="K80" s="2515" t="e">
        <f t="shared" si="13"/>
        <v>#DIV/0!</v>
      </c>
      <c r="L80" s="880"/>
      <c r="M80" s="880"/>
      <c r="N80" s="880"/>
      <c r="O80" s="880"/>
      <c r="P80" s="880"/>
      <c r="Q80" s="880"/>
      <c r="R80" s="880"/>
      <c r="S80" s="877">
        <f t="shared" si="14"/>
        <v>0</v>
      </c>
      <c r="T80" s="879"/>
      <c r="U80" s="879"/>
      <c r="V80" s="879"/>
      <c r="W80" s="877">
        <f t="shared" si="15"/>
        <v>0</v>
      </c>
      <c r="X80" s="267">
        <f t="shared" si="12"/>
        <v>0</v>
      </c>
      <c r="Y80" s="267">
        <f t="shared" si="16"/>
        <v>0</v>
      </c>
      <c r="Z80" s="475"/>
      <c r="AA80" s="475"/>
      <c r="AB80" s="453" t="e">
        <f>F80/#REF!*100</f>
        <v>#REF!</v>
      </c>
    </row>
    <row r="81" spans="1:28" ht="17.45" hidden="1" customHeight="1">
      <c r="A81" s="2534">
        <v>722433</v>
      </c>
      <c r="B81" s="2532" t="s">
        <v>107</v>
      </c>
      <c r="C81" s="2518"/>
      <c r="D81" s="2519"/>
      <c r="E81" s="2520"/>
      <c r="F81" s="2533">
        <f t="shared" si="10"/>
        <v>0</v>
      </c>
      <c r="G81" s="2518"/>
      <c r="H81" s="2519"/>
      <c r="I81" s="2520"/>
      <c r="J81" s="2533">
        <f t="shared" si="11"/>
        <v>0</v>
      </c>
      <c r="K81" s="2515" t="e">
        <f t="shared" si="13"/>
        <v>#DIV/0!</v>
      </c>
      <c r="L81" s="880"/>
      <c r="M81" s="880"/>
      <c r="N81" s="880"/>
      <c r="O81" s="880"/>
      <c r="P81" s="880"/>
      <c r="Q81" s="880"/>
      <c r="R81" s="880"/>
      <c r="S81" s="877">
        <f t="shared" si="14"/>
        <v>0</v>
      </c>
      <c r="T81" s="879"/>
      <c r="U81" s="879"/>
      <c r="V81" s="879"/>
      <c r="W81" s="877">
        <f t="shared" si="15"/>
        <v>0</v>
      </c>
      <c r="X81" s="267">
        <f t="shared" si="12"/>
        <v>0</v>
      </c>
      <c r="Y81" s="267">
        <f t="shared" si="16"/>
        <v>0</v>
      </c>
      <c r="Z81" s="475"/>
      <c r="AA81" s="475"/>
      <c r="AB81" s="453" t="e">
        <f>F81/#REF!*100</f>
        <v>#REF!</v>
      </c>
    </row>
    <row r="82" spans="1:28" ht="17.45" hidden="1" customHeight="1">
      <c r="A82" s="2534">
        <v>722434</v>
      </c>
      <c r="B82" s="2532" t="s">
        <v>107</v>
      </c>
      <c r="C82" s="2518"/>
      <c r="D82" s="2519"/>
      <c r="E82" s="2520"/>
      <c r="F82" s="2533">
        <f t="shared" si="10"/>
        <v>0</v>
      </c>
      <c r="G82" s="2518"/>
      <c r="H82" s="2519"/>
      <c r="I82" s="2520"/>
      <c r="J82" s="2533">
        <f t="shared" si="11"/>
        <v>0</v>
      </c>
      <c r="K82" s="2515" t="e">
        <f t="shared" si="13"/>
        <v>#DIV/0!</v>
      </c>
      <c r="L82" s="880"/>
      <c r="M82" s="880"/>
      <c r="N82" s="880"/>
      <c r="O82" s="880"/>
      <c r="P82" s="880"/>
      <c r="Q82" s="880"/>
      <c r="R82" s="880"/>
      <c r="S82" s="877">
        <f t="shared" si="14"/>
        <v>0</v>
      </c>
      <c r="T82" s="879"/>
      <c r="U82" s="879"/>
      <c r="V82" s="879"/>
      <c r="W82" s="877">
        <f t="shared" si="15"/>
        <v>0</v>
      </c>
      <c r="X82" s="267">
        <f t="shared" si="12"/>
        <v>0</v>
      </c>
      <c r="Y82" s="267">
        <f t="shared" si="16"/>
        <v>0</v>
      </c>
      <c r="Z82" s="475"/>
      <c r="AA82" s="475"/>
      <c r="AB82" s="453" t="e">
        <f>F82/#REF!*100</f>
        <v>#REF!</v>
      </c>
    </row>
    <row r="83" spans="1:28" ht="17.45" hidden="1" customHeight="1">
      <c r="A83" s="2516">
        <v>722435</v>
      </c>
      <c r="B83" s="2532" t="s">
        <v>107</v>
      </c>
      <c r="C83" s="2518"/>
      <c r="D83" s="2535"/>
      <c r="E83" s="2520"/>
      <c r="F83" s="2533">
        <f t="shared" si="10"/>
        <v>0</v>
      </c>
      <c r="G83" s="2518"/>
      <c r="H83" s="2535"/>
      <c r="I83" s="2520"/>
      <c r="J83" s="2533">
        <f t="shared" si="11"/>
        <v>0</v>
      </c>
      <c r="K83" s="2515" t="e">
        <f t="shared" si="13"/>
        <v>#DIV/0!</v>
      </c>
      <c r="L83" s="880"/>
      <c r="M83" s="880"/>
      <c r="N83" s="880"/>
      <c r="O83" s="880"/>
      <c r="P83" s="880"/>
      <c r="Q83" s="880"/>
      <c r="R83" s="880"/>
      <c r="S83" s="877">
        <f t="shared" si="14"/>
        <v>0</v>
      </c>
      <c r="T83" s="879"/>
      <c r="U83" s="879"/>
      <c r="V83" s="879"/>
      <c r="W83" s="877">
        <f t="shared" si="15"/>
        <v>0</v>
      </c>
      <c r="X83" s="267">
        <f t="shared" si="12"/>
        <v>0</v>
      </c>
      <c r="Y83" s="267">
        <f t="shared" si="16"/>
        <v>0</v>
      </c>
      <c r="Z83" s="475"/>
      <c r="AA83" s="475"/>
      <c r="AB83" s="453" t="e">
        <f>F83/#REF!*100</f>
        <v>#REF!</v>
      </c>
    </row>
    <row r="84" spans="1:28" ht="17.45" hidden="1" customHeight="1">
      <c r="A84" s="2516">
        <v>722436</v>
      </c>
      <c r="B84" s="2532" t="s">
        <v>107</v>
      </c>
      <c r="C84" s="2518"/>
      <c r="D84" s="2519"/>
      <c r="E84" s="2520"/>
      <c r="F84" s="2533">
        <f t="shared" si="10"/>
        <v>0</v>
      </c>
      <c r="G84" s="2518"/>
      <c r="H84" s="2519"/>
      <c r="I84" s="2520"/>
      <c r="J84" s="2533">
        <f t="shared" si="11"/>
        <v>0</v>
      </c>
      <c r="K84" s="2515" t="e">
        <f t="shared" si="13"/>
        <v>#DIV/0!</v>
      </c>
      <c r="L84" s="880"/>
      <c r="M84" s="880"/>
      <c r="N84" s="880"/>
      <c r="O84" s="880"/>
      <c r="P84" s="880"/>
      <c r="Q84" s="880"/>
      <c r="R84" s="880"/>
      <c r="S84" s="877">
        <f t="shared" si="14"/>
        <v>0</v>
      </c>
      <c r="T84" s="879"/>
      <c r="U84" s="879"/>
      <c r="V84" s="879"/>
      <c r="W84" s="877">
        <f t="shared" si="15"/>
        <v>0</v>
      </c>
      <c r="X84" s="267">
        <f t="shared" si="12"/>
        <v>0</v>
      </c>
      <c r="Y84" s="267">
        <f t="shared" si="16"/>
        <v>0</v>
      </c>
      <c r="Z84" s="475"/>
      <c r="AA84" s="475"/>
      <c r="AB84" s="453" t="e">
        <f>F84/#REF!*100</f>
        <v>#REF!</v>
      </c>
    </row>
    <row r="85" spans="1:28" ht="17.45" hidden="1" customHeight="1">
      <c r="A85" s="2516"/>
      <c r="B85" s="2532" t="s">
        <v>107</v>
      </c>
      <c r="C85" s="2518"/>
      <c r="D85" s="2519"/>
      <c r="E85" s="2520"/>
      <c r="F85" s="2533">
        <f t="shared" si="10"/>
        <v>0</v>
      </c>
      <c r="G85" s="2518"/>
      <c r="H85" s="2519"/>
      <c r="I85" s="2520"/>
      <c r="J85" s="2533">
        <f t="shared" si="11"/>
        <v>0</v>
      </c>
      <c r="K85" s="2515" t="e">
        <f t="shared" si="13"/>
        <v>#DIV/0!</v>
      </c>
      <c r="L85" s="880"/>
      <c r="M85" s="880"/>
      <c r="N85" s="880"/>
      <c r="O85" s="880"/>
      <c r="P85" s="880"/>
      <c r="Q85" s="880"/>
      <c r="R85" s="880"/>
      <c r="S85" s="877">
        <f t="shared" si="14"/>
        <v>0</v>
      </c>
      <c r="T85" s="879"/>
      <c r="U85" s="879"/>
      <c r="V85" s="879"/>
      <c r="W85" s="877">
        <f t="shared" si="15"/>
        <v>0</v>
      </c>
      <c r="X85" s="267">
        <f t="shared" si="12"/>
        <v>0</v>
      </c>
      <c r="Y85" s="267">
        <f t="shared" si="16"/>
        <v>0</v>
      </c>
      <c r="Z85" s="475"/>
      <c r="AA85" s="475"/>
      <c r="AB85" s="453" t="e">
        <f>F85/#REF!*100</f>
        <v>#REF!</v>
      </c>
    </row>
    <row r="86" spans="1:28" ht="37.5" customHeight="1">
      <c r="A86" s="2516"/>
      <c r="B86" s="2532" t="s">
        <v>875</v>
      </c>
      <c r="C86" s="2518"/>
      <c r="D86" s="2519">
        <v>949482.78</v>
      </c>
      <c r="E86" s="2520"/>
      <c r="F86" s="2533">
        <f t="shared" si="10"/>
        <v>949482.78</v>
      </c>
      <c r="G86" s="2518"/>
      <c r="H86" s="2519"/>
      <c r="I86" s="2520"/>
      <c r="J86" s="2533">
        <f t="shared" si="11"/>
        <v>0</v>
      </c>
      <c r="K86" s="2515">
        <f t="shared" si="13"/>
        <v>0</v>
      </c>
      <c r="L86" s="880"/>
      <c r="M86" s="880"/>
      <c r="N86" s="880"/>
      <c r="O86" s="880"/>
      <c r="P86" s="880"/>
      <c r="Q86" s="880"/>
      <c r="R86" s="880"/>
      <c r="S86" s="877">
        <f t="shared" si="14"/>
        <v>0</v>
      </c>
      <c r="T86" s="879"/>
      <c r="U86" s="879"/>
      <c r="V86" s="879"/>
      <c r="W86" s="877">
        <f t="shared" si="15"/>
        <v>0</v>
      </c>
      <c r="X86" s="267">
        <f t="shared" si="12"/>
        <v>0</v>
      </c>
      <c r="Y86" s="267">
        <f t="shared" si="16"/>
        <v>-949482.78</v>
      </c>
      <c r="Z86" s="475"/>
      <c r="AA86" s="475"/>
      <c r="AB86" s="453" t="e">
        <f>F86/#REF!*100</f>
        <v>#REF!</v>
      </c>
    </row>
    <row r="87" spans="1:28" ht="24" customHeight="1">
      <c r="A87" s="2509"/>
      <c r="B87" s="2532" t="s">
        <v>108</v>
      </c>
      <c r="C87" s="2518"/>
      <c r="D87" s="2519">
        <v>810200</v>
      </c>
      <c r="E87" s="2523"/>
      <c r="F87" s="2533">
        <f t="shared" si="10"/>
        <v>810200</v>
      </c>
      <c r="G87" s="2518"/>
      <c r="H87" s="2519">
        <v>570000</v>
      </c>
      <c r="I87" s="2523"/>
      <c r="J87" s="2533">
        <f t="shared" si="11"/>
        <v>570000</v>
      </c>
      <c r="K87" s="2515">
        <f t="shared" si="13"/>
        <v>70.352999259442115</v>
      </c>
      <c r="L87" s="880"/>
      <c r="M87" s="880"/>
      <c r="N87" s="880"/>
      <c r="O87" s="880"/>
      <c r="P87" s="880"/>
      <c r="Q87" s="880"/>
      <c r="R87" s="880"/>
      <c r="S87" s="877">
        <f t="shared" si="14"/>
        <v>0</v>
      </c>
      <c r="T87" s="879"/>
      <c r="U87" s="879"/>
      <c r="V87" s="879"/>
      <c r="W87" s="877">
        <f t="shared" si="15"/>
        <v>0</v>
      </c>
      <c r="X87" s="267">
        <f t="shared" si="12"/>
        <v>0</v>
      </c>
      <c r="Y87" s="267">
        <f t="shared" si="16"/>
        <v>-810200</v>
      </c>
      <c r="Z87" s="475"/>
      <c r="AA87" s="475"/>
      <c r="AB87" s="453" t="e">
        <f>F87/#REF!*100</f>
        <v>#REF!</v>
      </c>
    </row>
    <row r="88" spans="1:28" ht="17.45" hidden="1" customHeight="1">
      <c r="A88" s="2531">
        <v>721211</v>
      </c>
      <c r="B88" s="2532" t="s">
        <v>108</v>
      </c>
      <c r="C88" s="2518"/>
      <c r="D88" s="2519"/>
      <c r="E88" s="2520"/>
      <c r="F88" s="2533">
        <f t="shared" si="10"/>
        <v>0</v>
      </c>
      <c r="G88" s="2518"/>
      <c r="H88" s="2519"/>
      <c r="I88" s="2520"/>
      <c r="J88" s="2533">
        <f t="shared" si="11"/>
        <v>0</v>
      </c>
      <c r="K88" s="2515" t="e">
        <f t="shared" si="13"/>
        <v>#DIV/0!</v>
      </c>
      <c r="L88" s="880"/>
      <c r="M88" s="880"/>
      <c r="N88" s="880"/>
      <c r="O88" s="880"/>
      <c r="P88" s="880"/>
      <c r="Q88" s="880"/>
      <c r="R88" s="880"/>
      <c r="S88" s="877">
        <f t="shared" si="14"/>
        <v>0</v>
      </c>
      <c r="T88" s="879"/>
      <c r="U88" s="879"/>
      <c r="V88" s="879"/>
      <c r="W88" s="877">
        <f t="shared" si="15"/>
        <v>0</v>
      </c>
      <c r="X88" s="267">
        <f t="shared" si="12"/>
        <v>0</v>
      </c>
      <c r="Y88" s="267">
        <f t="shared" si="16"/>
        <v>0</v>
      </c>
      <c r="Z88" s="475"/>
      <c r="AA88" s="475"/>
      <c r="AB88" s="453" t="e">
        <f>F88/#REF!*100</f>
        <v>#REF!</v>
      </c>
    </row>
    <row r="89" spans="1:28" ht="17.45" hidden="1" customHeight="1">
      <c r="A89" s="2516">
        <v>722431</v>
      </c>
      <c r="B89" s="2532" t="s">
        <v>108</v>
      </c>
      <c r="C89" s="2518"/>
      <c r="D89" s="2519"/>
      <c r="E89" s="2520"/>
      <c r="F89" s="2533">
        <f t="shared" si="10"/>
        <v>0</v>
      </c>
      <c r="G89" s="2518"/>
      <c r="H89" s="2519"/>
      <c r="I89" s="2520"/>
      <c r="J89" s="2533">
        <f t="shared" si="11"/>
        <v>0</v>
      </c>
      <c r="K89" s="2515" t="e">
        <f t="shared" si="13"/>
        <v>#DIV/0!</v>
      </c>
      <c r="L89" s="880"/>
      <c r="M89" s="880"/>
      <c r="N89" s="880"/>
      <c r="O89" s="880"/>
      <c r="P89" s="880"/>
      <c r="Q89" s="880"/>
      <c r="R89" s="880"/>
      <c r="S89" s="877">
        <f t="shared" si="14"/>
        <v>0</v>
      </c>
      <c r="T89" s="879"/>
      <c r="U89" s="879"/>
      <c r="V89" s="879"/>
      <c r="W89" s="877">
        <f t="shared" si="15"/>
        <v>0</v>
      </c>
      <c r="X89" s="267">
        <f t="shared" si="12"/>
        <v>0</v>
      </c>
      <c r="Y89" s="267">
        <f t="shared" si="16"/>
        <v>0</v>
      </c>
      <c r="Z89" s="475"/>
      <c r="AA89" s="475"/>
      <c r="AB89" s="453" t="e">
        <f>F89/#REF!*100</f>
        <v>#REF!</v>
      </c>
    </row>
    <row r="90" spans="1:28" ht="17.45" hidden="1" customHeight="1">
      <c r="A90" s="2534">
        <v>722433</v>
      </c>
      <c r="B90" s="2532" t="s">
        <v>108</v>
      </c>
      <c r="C90" s="2518"/>
      <c r="D90" s="2519"/>
      <c r="E90" s="2520"/>
      <c r="F90" s="2533">
        <f t="shared" si="10"/>
        <v>0</v>
      </c>
      <c r="G90" s="2518"/>
      <c r="H90" s="2519"/>
      <c r="I90" s="2520"/>
      <c r="J90" s="2533">
        <f t="shared" si="11"/>
        <v>0</v>
      </c>
      <c r="K90" s="2515" t="e">
        <f t="shared" si="13"/>
        <v>#DIV/0!</v>
      </c>
      <c r="L90" s="880"/>
      <c r="M90" s="880"/>
      <c r="N90" s="880"/>
      <c r="O90" s="880"/>
      <c r="P90" s="880"/>
      <c r="Q90" s="880"/>
      <c r="R90" s="880"/>
      <c r="S90" s="877">
        <f t="shared" si="14"/>
        <v>0</v>
      </c>
      <c r="T90" s="879"/>
      <c r="U90" s="879"/>
      <c r="V90" s="879"/>
      <c r="W90" s="877">
        <f t="shared" si="15"/>
        <v>0</v>
      </c>
      <c r="X90" s="267">
        <f t="shared" si="12"/>
        <v>0</v>
      </c>
      <c r="Y90" s="267">
        <f t="shared" si="16"/>
        <v>0</v>
      </c>
      <c r="Z90" s="475"/>
      <c r="AA90" s="475"/>
      <c r="AB90" s="453" t="e">
        <f>F90/#REF!*100</f>
        <v>#REF!</v>
      </c>
    </row>
    <row r="91" spans="1:28" ht="17.45" hidden="1" customHeight="1">
      <c r="A91" s="2534">
        <v>722434</v>
      </c>
      <c r="B91" s="2532" t="s">
        <v>108</v>
      </c>
      <c r="C91" s="2518"/>
      <c r="D91" s="2519"/>
      <c r="E91" s="2520"/>
      <c r="F91" s="2533">
        <f t="shared" si="10"/>
        <v>0</v>
      </c>
      <c r="G91" s="2518"/>
      <c r="H91" s="2519"/>
      <c r="I91" s="2520"/>
      <c r="J91" s="2533">
        <f t="shared" si="11"/>
        <v>0</v>
      </c>
      <c r="K91" s="2515" t="e">
        <f t="shared" si="13"/>
        <v>#DIV/0!</v>
      </c>
      <c r="L91" s="880"/>
      <c r="M91" s="880"/>
      <c r="N91" s="880"/>
      <c r="O91" s="880"/>
      <c r="P91" s="880"/>
      <c r="Q91" s="880"/>
      <c r="R91" s="880"/>
      <c r="S91" s="877">
        <f t="shared" si="14"/>
        <v>0</v>
      </c>
      <c r="T91" s="879"/>
      <c r="U91" s="879"/>
      <c r="V91" s="879"/>
      <c r="W91" s="877">
        <f t="shared" si="15"/>
        <v>0</v>
      </c>
      <c r="X91" s="267">
        <f t="shared" si="12"/>
        <v>0</v>
      </c>
      <c r="Y91" s="267">
        <f t="shared" si="16"/>
        <v>0</v>
      </c>
      <c r="Z91" s="475"/>
      <c r="AA91" s="475"/>
      <c r="AB91" s="453" t="e">
        <f>F91/#REF!*100</f>
        <v>#REF!</v>
      </c>
    </row>
    <row r="92" spans="1:28" ht="17.45" hidden="1" customHeight="1">
      <c r="A92" s="2534">
        <v>722434</v>
      </c>
      <c r="B92" s="2532" t="s">
        <v>108</v>
      </c>
      <c r="C92" s="2518"/>
      <c r="D92" s="2519"/>
      <c r="E92" s="2520"/>
      <c r="F92" s="2533">
        <f t="shared" si="10"/>
        <v>0</v>
      </c>
      <c r="G92" s="2518"/>
      <c r="H92" s="2519"/>
      <c r="I92" s="2520"/>
      <c r="J92" s="2533">
        <f t="shared" si="11"/>
        <v>0</v>
      </c>
      <c r="K92" s="2515" t="e">
        <f t="shared" si="13"/>
        <v>#DIV/0!</v>
      </c>
      <c r="L92" s="880"/>
      <c r="M92" s="880"/>
      <c r="N92" s="880"/>
      <c r="O92" s="880"/>
      <c r="P92" s="880"/>
      <c r="Q92" s="880"/>
      <c r="R92" s="880"/>
      <c r="S92" s="877">
        <f t="shared" si="14"/>
        <v>0</v>
      </c>
      <c r="T92" s="879"/>
      <c r="U92" s="879"/>
      <c r="V92" s="879"/>
      <c r="W92" s="877">
        <f t="shared" si="15"/>
        <v>0</v>
      </c>
      <c r="X92" s="267">
        <f t="shared" si="12"/>
        <v>0</v>
      </c>
      <c r="Y92" s="267">
        <f t="shared" si="16"/>
        <v>0</v>
      </c>
      <c r="Z92" s="475"/>
      <c r="AA92" s="475"/>
      <c r="AB92" s="453" t="e">
        <f>F92/#REF!*100</f>
        <v>#REF!</v>
      </c>
    </row>
    <row r="93" spans="1:28" ht="17.45" hidden="1" customHeight="1">
      <c r="A93" s="2516">
        <v>722435</v>
      </c>
      <c r="B93" s="2532" t="s">
        <v>108</v>
      </c>
      <c r="C93" s="2518"/>
      <c r="D93" s="2519"/>
      <c r="E93" s="2520"/>
      <c r="F93" s="2533">
        <f t="shared" si="10"/>
        <v>0</v>
      </c>
      <c r="G93" s="2518"/>
      <c r="H93" s="2519"/>
      <c r="I93" s="2520"/>
      <c r="J93" s="2533">
        <f t="shared" si="11"/>
        <v>0</v>
      </c>
      <c r="K93" s="2515" t="e">
        <f t="shared" si="13"/>
        <v>#DIV/0!</v>
      </c>
      <c r="L93" s="880"/>
      <c r="M93" s="880"/>
      <c r="N93" s="880"/>
      <c r="O93" s="880"/>
      <c r="P93" s="880"/>
      <c r="Q93" s="880"/>
      <c r="R93" s="880"/>
      <c r="S93" s="877">
        <f t="shared" si="14"/>
        <v>0</v>
      </c>
      <c r="T93" s="879"/>
      <c r="U93" s="879"/>
      <c r="V93" s="879"/>
      <c r="W93" s="877">
        <f t="shared" si="15"/>
        <v>0</v>
      </c>
      <c r="X93" s="267">
        <f t="shared" si="12"/>
        <v>0</v>
      </c>
      <c r="Y93" s="267">
        <f t="shared" si="16"/>
        <v>0</v>
      </c>
      <c r="Z93" s="475"/>
      <c r="AA93" s="475"/>
      <c r="AB93" s="453" t="e">
        <f>F93/#REF!*100</f>
        <v>#REF!</v>
      </c>
    </row>
    <row r="94" spans="1:28" ht="17.45" hidden="1" customHeight="1">
      <c r="A94" s="2516">
        <v>722435</v>
      </c>
      <c r="B94" s="2532" t="s">
        <v>108</v>
      </c>
      <c r="C94" s="2518"/>
      <c r="D94" s="2519"/>
      <c r="E94" s="2520"/>
      <c r="F94" s="2533">
        <f t="shared" si="10"/>
        <v>0</v>
      </c>
      <c r="G94" s="2518"/>
      <c r="H94" s="2519"/>
      <c r="I94" s="2520"/>
      <c r="J94" s="2533">
        <f t="shared" si="11"/>
        <v>0</v>
      </c>
      <c r="K94" s="2515" t="e">
        <f t="shared" si="13"/>
        <v>#DIV/0!</v>
      </c>
      <c r="L94" s="880"/>
      <c r="M94" s="880"/>
      <c r="N94" s="880"/>
      <c r="O94" s="880"/>
      <c r="P94" s="880"/>
      <c r="Q94" s="880"/>
      <c r="R94" s="880"/>
      <c r="S94" s="877">
        <f t="shared" si="14"/>
        <v>0</v>
      </c>
      <c r="T94" s="879"/>
      <c r="U94" s="879"/>
      <c r="V94" s="879"/>
      <c r="W94" s="877">
        <f t="shared" si="15"/>
        <v>0</v>
      </c>
      <c r="X94" s="267">
        <f t="shared" si="12"/>
        <v>0</v>
      </c>
      <c r="Y94" s="267">
        <f t="shared" si="16"/>
        <v>0</v>
      </c>
      <c r="Z94" s="475"/>
      <c r="AA94" s="475"/>
      <c r="AB94" s="453" t="e">
        <f>F94/#REF!*100</f>
        <v>#REF!</v>
      </c>
    </row>
    <row r="95" spans="1:28" ht="10.5" hidden="1" customHeight="1">
      <c r="A95" s="2516"/>
      <c r="B95" s="2532" t="s">
        <v>108</v>
      </c>
      <c r="C95" s="2518"/>
      <c r="D95" s="2519"/>
      <c r="E95" s="2520"/>
      <c r="F95" s="2533">
        <f t="shared" si="10"/>
        <v>0</v>
      </c>
      <c r="G95" s="2518"/>
      <c r="H95" s="2519"/>
      <c r="I95" s="2520"/>
      <c r="J95" s="2533">
        <f t="shared" si="11"/>
        <v>0</v>
      </c>
      <c r="K95" s="2515" t="e">
        <f t="shared" si="13"/>
        <v>#DIV/0!</v>
      </c>
      <c r="L95" s="880"/>
      <c r="M95" s="880"/>
      <c r="N95" s="880"/>
      <c r="O95" s="880"/>
      <c r="P95" s="880"/>
      <c r="Q95" s="880"/>
      <c r="R95" s="880"/>
      <c r="S95" s="877">
        <f t="shared" si="14"/>
        <v>0</v>
      </c>
      <c r="T95" s="879"/>
      <c r="U95" s="879"/>
      <c r="V95" s="879"/>
      <c r="W95" s="877">
        <f t="shared" si="15"/>
        <v>0</v>
      </c>
      <c r="X95" s="267">
        <f t="shared" si="12"/>
        <v>0</v>
      </c>
      <c r="Y95" s="267">
        <f t="shared" si="16"/>
        <v>0</v>
      </c>
      <c r="Z95" s="475"/>
      <c r="AA95" s="475"/>
      <c r="AB95" s="453" t="e">
        <f>F95/#REF!*100</f>
        <v>#REF!</v>
      </c>
    </row>
    <row r="96" spans="1:28" ht="31.5" customHeight="1">
      <c r="A96" s="2516"/>
      <c r="B96" s="2532" t="s">
        <v>876</v>
      </c>
      <c r="C96" s="2518"/>
      <c r="D96" s="1675">
        <v>1866673.27</v>
      </c>
      <c r="E96" s="2520"/>
      <c r="F96" s="2533">
        <f t="shared" si="10"/>
        <v>1866673.27</v>
      </c>
      <c r="G96" s="2518"/>
      <c r="H96" s="1675"/>
      <c r="I96" s="2520"/>
      <c r="J96" s="2533">
        <f t="shared" si="11"/>
        <v>0</v>
      </c>
      <c r="K96" s="2515">
        <f t="shared" si="13"/>
        <v>0</v>
      </c>
      <c r="L96" s="880"/>
      <c r="M96" s="880"/>
      <c r="N96" s="880"/>
      <c r="O96" s="880"/>
      <c r="P96" s="880"/>
      <c r="Q96" s="880"/>
      <c r="R96" s="880"/>
      <c r="S96" s="877">
        <f t="shared" si="14"/>
        <v>0</v>
      </c>
      <c r="T96" s="879"/>
      <c r="U96" s="879"/>
      <c r="V96" s="879"/>
      <c r="W96" s="877">
        <f t="shared" si="15"/>
        <v>0</v>
      </c>
      <c r="X96" s="267">
        <f t="shared" si="12"/>
        <v>0</v>
      </c>
      <c r="Y96" s="267">
        <f t="shared" si="16"/>
        <v>-1866673.27</v>
      </c>
      <c r="Z96" s="475"/>
      <c r="AA96" s="475"/>
      <c r="AB96" s="453" t="e">
        <f>F96/#REF!*100</f>
        <v>#REF!</v>
      </c>
    </row>
    <row r="97" spans="1:28" ht="29.45" customHeight="1">
      <c r="A97" s="2509"/>
      <c r="B97" s="2532" t="s">
        <v>110</v>
      </c>
      <c r="C97" s="2518"/>
      <c r="D97" s="2519">
        <v>221070</v>
      </c>
      <c r="E97" s="2523"/>
      <c r="F97" s="2533">
        <f t="shared" si="10"/>
        <v>221070</v>
      </c>
      <c r="G97" s="2518"/>
      <c r="H97" s="2519">
        <v>160000</v>
      </c>
      <c r="I97" s="2523"/>
      <c r="J97" s="2533">
        <f t="shared" si="11"/>
        <v>160000</v>
      </c>
      <c r="K97" s="2515">
        <f t="shared" si="13"/>
        <v>72.375265752928939</v>
      </c>
      <c r="L97" s="880"/>
      <c r="M97" s="880"/>
      <c r="N97" s="880"/>
      <c r="O97" s="880"/>
      <c r="P97" s="880"/>
      <c r="Q97" s="880"/>
      <c r="R97" s="880"/>
      <c r="S97" s="877">
        <f t="shared" si="14"/>
        <v>0</v>
      </c>
      <c r="T97" s="879"/>
      <c r="U97" s="879"/>
      <c r="V97" s="879"/>
      <c r="W97" s="877">
        <f t="shared" si="15"/>
        <v>0</v>
      </c>
      <c r="X97" s="267">
        <f t="shared" si="12"/>
        <v>0</v>
      </c>
      <c r="Y97" s="267">
        <f t="shared" si="16"/>
        <v>-221070</v>
      </c>
      <c r="Z97" s="475"/>
      <c r="AA97" s="475"/>
      <c r="AB97" s="453" t="e">
        <f>F97/#REF!*100</f>
        <v>#REF!</v>
      </c>
    </row>
    <row r="98" spans="1:28" ht="11.45" hidden="1" customHeight="1">
      <c r="A98" s="2531">
        <v>721211</v>
      </c>
      <c r="B98" s="2532" t="s">
        <v>110</v>
      </c>
      <c r="C98" s="2518"/>
      <c r="D98" s="2519"/>
      <c r="E98" s="2520"/>
      <c r="F98" s="2533">
        <f t="shared" si="10"/>
        <v>0</v>
      </c>
      <c r="G98" s="2518"/>
      <c r="H98" s="2519"/>
      <c r="I98" s="2520"/>
      <c r="J98" s="2533">
        <f t="shared" si="11"/>
        <v>0</v>
      </c>
      <c r="K98" s="2515" t="e">
        <f t="shared" si="13"/>
        <v>#DIV/0!</v>
      </c>
      <c r="L98" s="880"/>
      <c r="M98" s="880"/>
      <c r="N98" s="880"/>
      <c r="O98" s="880"/>
      <c r="P98" s="880"/>
      <c r="Q98" s="880"/>
      <c r="R98" s="880"/>
      <c r="S98" s="877">
        <f t="shared" si="14"/>
        <v>0</v>
      </c>
      <c r="T98" s="878"/>
      <c r="U98" s="878"/>
      <c r="V98" s="878"/>
      <c r="W98" s="877">
        <f t="shared" si="15"/>
        <v>0</v>
      </c>
      <c r="X98" s="267">
        <f t="shared" si="12"/>
        <v>0</v>
      </c>
      <c r="Y98" s="267">
        <f t="shared" si="16"/>
        <v>0</v>
      </c>
      <c r="Z98" s="474"/>
      <c r="AA98" s="474"/>
      <c r="AB98" s="453" t="e">
        <f>F98/#REF!*100</f>
        <v>#REF!</v>
      </c>
    </row>
    <row r="99" spans="1:28" ht="11.45" hidden="1" customHeight="1">
      <c r="A99" s="2516">
        <v>722431</v>
      </c>
      <c r="B99" s="2532" t="s">
        <v>110</v>
      </c>
      <c r="C99" s="2518"/>
      <c r="D99" s="2519"/>
      <c r="E99" s="2520"/>
      <c r="F99" s="2533">
        <f t="shared" si="10"/>
        <v>0</v>
      </c>
      <c r="G99" s="2518"/>
      <c r="H99" s="2519"/>
      <c r="I99" s="2520"/>
      <c r="J99" s="2533">
        <f t="shared" si="11"/>
        <v>0</v>
      </c>
      <c r="K99" s="2515" t="e">
        <f t="shared" si="13"/>
        <v>#DIV/0!</v>
      </c>
      <c r="L99" s="880"/>
      <c r="M99" s="880"/>
      <c r="N99" s="880"/>
      <c r="O99" s="880"/>
      <c r="P99" s="880"/>
      <c r="Q99" s="880"/>
      <c r="R99" s="880"/>
      <c r="S99" s="877">
        <f t="shared" si="14"/>
        <v>0</v>
      </c>
      <c r="T99" s="878"/>
      <c r="U99" s="878"/>
      <c r="V99" s="878"/>
      <c r="W99" s="877">
        <f t="shared" si="15"/>
        <v>0</v>
      </c>
      <c r="X99" s="267">
        <f t="shared" si="12"/>
        <v>0</v>
      </c>
      <c r="Y99" s="267">
        <f t="shared" si="16"/>
        <v>0</v>
      </c>
      <c r="Z99" s="474"/>
      <c r="AA99" s="474"/>
      <c r="AB99" s="453" t="e">
        <f>F99/#REF!*100</f>
        <v>#REF!</v>
      </c>
    </row>
    <row r="100" spans="1:28" ht="11.45" hidden="1" customHeight="1">
      <c r="A100" s="2534">
        <v>722433</v>
      </c>
      <c r="B100" s="2532" t="s">
        <v>110</v>
      </c>
      <c r="C100" s="2518"/>
      <c r="D100" s="2519"/>
      <c r="E100" s="2520"/>
      <c r="F100" s="2533">
        <f t="shared" si="10"/>
        <v>0</v>
      </c>
      <c r="G100" s="2518"/>
      <c r="H100" s="2519"/>
      <c r="I100" s="2520"/>
      <c r="J100" s="2533">
        <f t="shared" si="11"/>
        <v>0</v>
      </c>
      <c r="K100" s="2515" t="e">
        <f t="shared" si="13"/>
        <v>#DIV/0!</v>
      </c>
      <c r="L100" s="880"/>
      <c r="M100" s="880"/>
      <c r="N100" s="880"/>
      <c r="O100" s="880"/>
      <c r="P100" s="880"/>
      <c r="Q100" s="880"/>
      <c r="R100" s="880"/>
      <c r="S100" s="877">
        <f t="shared" si="14"/>
        <v>0</v>
      </c>
      <c r="T100" s="878"/>
      <c r="U100" s="878"/>
      <c r="V100" s="878"/>
      <c r="W100" s="877">
        <f t="shared" si="15"/>
        <v>0</v>
      </c>
      <c r="X100" s="267">
        <f t="shared" si="12"/>
        <v>0</v>
      </c>
      <c r="Y100" s="267">
        <f t="shared" si="16"/>
        <v>0</v>
      </c>
      <c r="Z100" s="474"/>
      <c r="AA100" s="474"/>
      <c r="AB100" s="453" t="e">
        <f>F100/#REF!*100</f>
        <v>#REF!</v>
      </c>
    </row>
    <row r="101" spans="1:28" ht="11.45" hidden="1" customHeight="1">
      <c r="A101" s="2534">
        <v>722434</v>
      </c>
      <c r="B101" s="2532" t="s">
        <v>110</v>
      </c>
      <c r="C101" s="2518"/>
      <c r="D101" s="2519"/>
      <c r="E101" s="2520"/>
      <c r="F101" s="2533">
        <f t="shared" si="10"/>
        <v>0</v>
      </c>
      <c r="G101" s="2518"/>
      <c r="H101" s="2519"/>
      <c r="I101" s="2520"/>
      <c r="J101" s="2533">
        <f t="shared" si="11"/>
        <v>0</v>
      </c>
      <c r="K101" s="2515" t="e">
        <f t="shared" si="13"/>
        <v>#DIV/0!</v>
      </c>
      <c r="L101" s="880"/>
      <c r="M101" s="880"/>
      <c r="N101" s="880"/>
      <c r="O101" s="880"/>
      <c r="P101" s="880"/>
      <c r="Q101" s="880"/>
      <c r="R101" s="880"/>
      <c r="S101" s="877">
        <f t="shared" si="14"/>
        <v>0</v>
      </c>
      <c r="T101" s="878"/>
      <c r="U101" s="878"/>
      <c r="V101" s="878"/>
      <c r="W101" s="877">
        <f t="shared" si="15"/>
        <v>0</v>
      </c>
      <c r="X101" s="267">
        <f t="shared" si="12"/>
        <v>0</v>
      </c>
      <c r="Y101" s="267">
        <f t="shared" si="16"/>
        <v>0</v>
      </c>
      <c r="Z101" s="474"/>
      <c r="AA101" s="474"/>
      <c r="AB101" s="453" t="e">
        <f>F101/#REF!*100</f>
        <v>#REF!</v>
      </c>
    </row>
    <row r="102" spans="1:28" ht="11.45" hidden="1" customHeight="1">
      <c r="A102" s="2534">
        <v>722435</v>
      </c>
      <c r="B102" s="2532" t="s">
        <v>110</v>
      </c>
      <c r="C102" s="2518"/>
      <c r="D102" s="2519"/>
      <c r="E102" s="2520"/>
      <c r="F102" s="2533">
        <f t="shared" si="10"/>
        <v>0</v>
      </c>
      <c r="G102" s="2518"/>
      <c r="H102" s="2519"/>
      <c r="I102" s="2520"/>
      <c r="J102" s="2533">
        <f t="shared" si="11"/>
        <v>0</v>
      </c>
      <c r="K102" s="2515" t="e">
        <f t="shared" si="13"/>
        <v>#DIV/0!</v>
      </c>
      <c r="L102" s="880"/>
      <c r="M102" s="880"/>
      <c r="N102" s="880"/>
      <c r="O102" s="880"/>
      <c r="P102" s="880"/>
      <c r="Q102" s="880"/>
      <c r="R102" s="880"/>
      <c r="S102" s="877">
        <f t="shared" si="14"/>
        <v>0</v>
      </c>
      <c r="T102" s="878"/>
      <c r="U102" s="878"/>
      <c r="V102" s="878"/>
      <c r="W102" s="877">
        <f t="shared" si="15"/>
        <v>0</v>
      </c>
      <c r="X102" s="267">
        <f t="shared" si="12"/>
        <v>0</v>
      </c>
      <c r="Y102" s="267">
        <f t="shared" si="16"/>
        <v>0</v>
      </c>
      <c r="Z102" s="474"/>
      <c r="AA102" s="474"/>
      <c r="AB102" s="453" t="e">
        <f>F102/#REF!*100</f>
        <v>#REF!</v>
      </c>
    </row>
    <row r="103" spans="1:28" ht="11.45" hidden="1" customHeight="1">
      <c r="A103" s="2534">
        <v>722436</v>
      </c>
      <c r="B103" s="2532" t="s">
        <v>110</v>
      </c>
      <c r="C103" s="2518"/>
      <c r="D103" s="2519"/>
      <c r="E103" s="2520"/>
      <c r="F103" s="2533">
        <f t="shared" si="10"/>
        <v>0</v>
      </c>
      <c r="G103" s="2518"/>
      <c r="H103" s="2519"/>
      <c r="I103" s="2520"/>
      <c r="J103" s="2533">
        <f t="shared" si="11"/>
        <v>0</v>
      </c>
      <c r="K103" s="2515" t="e">
        <f t="shared" si="13"/>
        <v>#DIV/0!</v>
      </c>
      <c r="L103" s="880"/>
      <c r="M103" s="880"/>
      <c r="N103" s="880"/>
      <c r="O103" s="880"/>
      <c r="P103" s="880"/>
      <c r="Q103" s="880"/>
      <c r="R103" s="880"/>
      <c r="S103" s="877">
        <f t="shared" si="14"/>
        <v>0</v>
      </c>
      <c r="T103" s="878"/>
      <c r="U103" s="878"/>
      <c r="V103" s="878"/>
      <c r="W103" s="877">
        <f t="shared" si="15"/>
        <v>0</v>
      </c>
      <c r="X103" s="267">
        <f t="shared" si="12"/>
        <v>0</v>
      </c>
      <c r="Y103" s="267">
        <f t="shared" si="16"/>
        <v>0</v>
      </c>
      <c r="Z103" s="474"/>
      <c r="AA103" s="474"/>
      <c r="AB103" s="453" t="e">
        <f>F103/#REF!*100</f>
        <v>#REF!</v>
      </c>
    </row>
    <row r="104" spans="1:28" ht="4.9000000000000004" hidden="1" customHeight="1">
      <c r="A104" s="2534"/>
      <c r="B104" s="2532" t="s">
        <v>110</v>
      </c>
      <c r="C104" s="2518"/>
      <c r="D104" s="2519"/>
      <c r="E104" s="2520"/>
      <c r="F104" s="2533">
        <f t="shared" si="10"/>
        <v>0</v>
      </c>
      <c r="G104" s="2518"/>
      <c r="H104" s="2519"/>
      <c r="I104" s="2520"/>
      <c r="J104" s="2533">
        <f t="shared" si="11"/>
        <v>0</v>
      </c>
      <c r="K104" s="2515" t="e">
        <f t="shared" si="13"/>
        <v>#DIV/0!</v>
      </c>
      <c r="L104" s="880"/>
      <c r="M104" s="880"/>
      <c r="N104" s="880"/>
      <c r="O104" s="880"/>
      <c r="P104" s="880"/>
      <c r="Q104" s="880"/>
      <c r="R104" s="880"/>
      <c r="S104" s="877">
        <f t="shared" si="14"/>
        <v>0</v>
      </c>
      <c r="T104" s="878"/>
      <c r="U104" s="878"/>
      <c r="V104" s="878"/>
      <c r="W104" s="877">
        <f t="shared" si="15"/>
        <v>0</v>
      </c>
      <c r="X104" s="267">
        <f t="shared" si="12"/>
        <v>0</v>
      </c>
      <c r="Y104" s="267">
        <f t="shared" si="16"/>
        <v>0</v>
      </c>
      <c r="Z104" s="474"/>
      <c r="AA104" s="474"/>
      <c r="AB104" s="453" t="e">
        <f>F104/#REF!*100</f>
        <v>#REF!</v>
      </c>
    </row>
    <row r="105" spans="1:28" ht="33" customHeight="1">
      <c r="A105" s="2534"/>
      <c r="B105" s="2532" t="s">
        <v>877</v>
      </c>
      <c r="C105" s="2518"/>
      <c r="D105" s="2519">
        <v>625214.71999999997</v>
      </c>
      <c r="E105" s="2520"/>
      <c r="F105" s="2533">
        <f t="shared" si="10"/>
        <v>625214.71999999997</v>
      </c>
      <c r="G105" s="2518"/>
      <c r="H105" s="2519"/>
      <c r="I105" s="2520"/>
      <c r="J105" s="2533">
        <f t="shared" si="11"/>
        <v>0</v>
      </c>
      <c r="K105" s="2515">
        <f t="shared" si="13"/>
        <v>0</v>
      </c>
      <c r="L105" s="880"/>
      <c r="M105" s="880"/>
      <c r="N105" s="880"/>
      <c r="O105" s="880"/>
      <c r="P105" s="880"/>
      <c r="Q105" s="880"/>
      <c r="R105" s="880"/>
      <c r="S105" s="877">
        <f t="shared" si="14"/>
        <v>0</v>
      </c>
      <c r="T105" s="879"/>
      <c r="U105" s="879"/>
      <c r="V105" s="879"/>
      <c r="W105" s="877">
        <f t="shared" si="15"/>
        <v>0</v>
      </c>
      <c r="X105" s="267">
        <f t="shared" si="12"/>
        <v>0</v>
      </c>
      <c r="Y105" s="267">
        <f t="shared" si="16"/>
        <v>-625214.71999999997</v>
      </c>
      <c r="Z105" s="475"/>
      <c r="AA105" s="475"/>
      <c r="AB105" s="453" t="e">
        <f>F105/#REF!*100</f>
        <v>#REF!</v>
      </c>
    </row>
    <row r="106" spans="1:28" ht="24" customHeight="1">
      <c r="A106" s="2536"/>
      <c r="B106" s="2532" t="s">
        <v>114</v>
      </c>
      <c r="C106" s="2527"/>
      <c r="D106" s="2519">
        <v>1243935</v>
      </c>
      <c r="E106" s="2529"/>
      <c r="F106" s="2533">
        <f t="shared" si="10"/>
        <v>1243935</v>
      </c>
      <c r="G106" s="2527"/>
      <c r="H106" s="2519">
        <v>781167</v>
      </c>
      <c r="I106" s="2529"/>
      <c r="J106" s="2533">
        <f t="shared" si="11"/>
        <v>781167</v>
      </c>
      <c r="K106" s="2515">
        <f t="shared" si="13"/>
        <v>62.798056168529705</v>
      </c>
      <c r="L106" s="880">
        <f>'GP Prihodi'!V55</f>
        <v>781167</v>
      </c>
      <c r="M106" s="880"/>
      <c r="N106" s="880"/>
      <c r="O106" s="880"/>
      <c r="P106" s="880"/>
      <c r="Q106" s="880"/>
      <c r="R106" s="880"/>
      <c r="S106" s="877">
        <f t="shared" si="14"/>
        <v>0</v>
      </c>
      <c r="T106" s="879"/>
      <c r="U106" s="879"/>
      <c r="V106" s="879"/>
      <c r="W106" s="877">
        <f t="shared" si="15"/>
        <v>0</v>
      </c>
      <c r="X106" s="267">
        <f t="shared" si="12"/>
        <v>0</v>
      </c>
      <c r="Y106" s="267">
        <f t="shared" si="16"/>
        <v>-1243935</v>
      </c>
      <c r="Z106" s="475"/>
      <c r="AA106" s="475"/>
      <c r="AB106" s="453" t="e">
        <f>F106/#REF!*100</f>
        <v>#REF!</v>
      </c>
    </row>
    <row r="107" spans="1:28" ht="45.6" hidden="1" customHeight="1">
      <c r="A107" s="2531">
        <v>721211</v>
      </c>
      <c r="B107" s="2517" t="s">
        <v>90</v>
      </c>
      <c r="C107" s="2518"/>
      <c r="D107" s="2519">
        <v>10</v>
      </c>
      <c r="E107" s="2520"/>
      <c r="F107" s="2521">
        <f>SUM(C107:E107)</f>
        <v>10</v>
      </c>
      <c r="G107" s="2518"/>
      <c r="H107" s="2519"/>
      <c r="I107" s="2520"/>
      <c r="J107" s="2521">
        <f>SUM(G107:I107)</f>
        <v>0</v>
      </c>
      <c r="K107" s="2515">
        <f t="shared" si="13"/>
        <v>0</v>
      </c>
      <c r="L107" s="880"/>
      <c r="M107" s="880"/>
      <c r="N107" s="880"/>
      <c r="O107" s="880"/>
      <c r="P107" s="880"/>
      <c r="Q107" s="880"/>
      <c r="R107" s="880"/>
      <c r="S107" s="877">
        <f t="shared" si="14"/>
        <v>0</v>
      </c>
      <c r="T107" s="878"/>
      <c r="U107" s="878"/>
      <c r="V107" s="878"/>
      <c r="W107" s="877">
        <f t="shared" si="15"/>
        <v>0</v>
      </c>
      <c r="X107" s="267">
        <f t="shared" si="12"/>
        <v>0</v>
      </c>
      <c r="Y107" s="267">
        <f t="shared" si="16"/>
        <v>-10</v>
      </c>
      <c r="Z107" s="474"/>
      <c r="AA107" s="474"/>
      <c r="AB107" s="453" t="e">
        <f>F107/#REF!*100</f>
        <v>#REF!</v>
      </c>
    </row>
    <row r="108" spans="1:28" ht="45.6" hidden="1" customHeight="1">
      <c r="A108" s="2516">
        <v>722431</v>
      </c>
      <c r="B108" s="2517" t="s">
        <v>96</v>
      </c>
      <c r="C108" s="2518"/>
      <c r="D108" s="2519">
        <v>7875</v>
      </c>
      <c r="E108" s="2520"/>
      <c r="F108" s="2521">
        <f>SUM(C108:E108)</f>
        <v>7875</v>
      </c>
      <c r="G108" s="2518"/>
      <c r="H108" s="2519"/>
      <c r="I108" s="2520"/>
      <c r="J108" s="2521">
        <f>SUM(G108:I108)</f>
        <v>0</v>
      </c>
      <c r="K108" s="2515">
        <f t="shared" si="13"/>
        <v>0</v>
      </c>
      <c r="L108" s="880"/>
      <c r="M108" s="880"/>
      <c r="N108" s="880"/>
      <c r="O108" s="880"/>
      <c r="P108" s="880"/>
      <c r="Q108" s="880"/>
      <c r="R108" s="880"/>
      <c r="S108" s="877">
        <f t="shared" si="14"/>
        <v>0</v>
      </c>
      <c r="T108" s="878"/>
      <c r="U108" s="878"/>
      <c r="V108" s="878"/>
      <c r="W108" s="877">
        <f t="shared" si="15"/>
        <v>0</v>
      </c>
      <c r="X108" s="267">
        <f t="shared" si="12"/>
        <v>0</v>
      </c>
      <c r="Y108" s="267">
        <f t="shared" si="16"/>
        <v>-7875</v>
      </c>
      <c r="Z108" s="474"/>
      <c r="AA108" s="474"/>
      <c r="AB108" s="453" t="e">
        <f>F108/#REF!*100</f>
        <v>#REF!</v>
      </c>
    </row>
    <row r="109" spans="1:28" ht="45.6" hidden="1" customHeight="1">
      <c r="A109" s="2534">
        <v>722433</v>
      </c>
      <c r="B109" s="2517" t="s">
        <v>100</v>
      </c>
      <c r="C109" s="2518"/>
      <c r="D109" s="2519">
        <v>259750</v>
      </c>
      <c r="E109" s="2520"/>
      <c r="F109" s="2521">
        <f>SUM(C109:E109)</f>
        <v>259750</v>
      </c>
      <c r="G109" s="2518"/>
      <c r="H109" s="2519"/>
      <c r="I109" s="2520"/>
      <c r="J109" s="2521">
        <f>SUM(G109:I109)</f>
        <v>0</v>
      </c>
      <c r="K109" s="2515">
        <f t="shared" si="13"/>
        <v>0</v>
      </c>
      <c r="L109" s="880"/>
      <c r="M109" s="880"/>
      <c r="N109" s="880"/>
      <c r="O109" s="880"/>
      <c r="P109" s="880"/>
      <c r="Q109" s="880"/>
      <c r="R109" s="880"/>
      <c r="S109" s="877">
        <f t="shared" si="14"/>
        <v>0</v>
      </c>
      <c r="T109" s="878"/>
      <c r="U109" s="878"/>
      <c r="V109" s="878"/>
      <c r="W109" s="877">
        <f t="shared" si="15"/>
        <v>0</v>
      </c>
      <c r="X109" s="267">
        <f t="shared" si="12"/>
        <v>0</v>
      </c>
      <c r="Y109" s="267">
        <f t="shared" si="16"/>
        <v>-259750</v>
      </c>
      <c r="Z109" s="474"/>
      <c r="AA109" s="474"/>
      <c r="AB109" s="453" t="e">
        <f>F109/#REF!*100</f>
        <v>#REF!</v>
      </c>
    </row>
    <row r="110" spans="1:28" ht="45.6" hidden="1" customHeight="1">
      <c r="A110" s="2534">
        <v>722434</v>
      </c>
      <c r="B110" s="2517" t="s">
        <v>101</v>
      </c>
      <c r="C110" s="2518"/>
      <c r="D110" s="2519">
        <v>14750</v>
      </c>
      <c r="E110" s="2520"/>
      <c r="F110" s="2521">
        <f>SUM(C110:E110)</f>
        <v>14750</v>
      </c>
      <c r="G110" s="2518"/>
      <c r="H110" s="2519"/>
      <c r="I110" s="2520"/>
      <c r="J110" s="2521">
        <f>SUM(G110:I110)</f>
        <v>0</v>
      </c>
      <c r="K110" s="2515">
        <f t="shared" si="13"/>
        <v>0</v>
      </c>
      <c r="L110" s="880"/>
      <c r="M110" s="880"/>
      <c r="N110" s="880"/>
      <c r="O110" s="880"/>
      <c r="P110" s="880"/>
      <c r="Q110" s="880"/>
      <c r="R110" s="880"/>
      <c r="S110" s="877">
        <f t="shared" si="14"/>
        <v>0</v>
      </c>
      <c r="T110" s="878"/>
      <c r="U110" s="878"/>
      <c r="V110" s="878"/>
      <c r="W110" s="877">
        <f t="shared" si="15"/>
        <v>0</v>
      </c>
      <c r="X110" s="267">
        <f t="shared" si="12"/>
        <v>0</v>
      </c>
      <c r="Y110" s="267">
        <f t="shared" si="16"/>
        <v>-14750</v>
      </c>
      <c r="Z110" s="474"/>
      <c r="AA110" s="474"/>
      <c r="AB110" s="453" t="e">
        <f>F110/#REF!*100</f>
        <v>#REF!</v>
      </c>
    </row>
    <row r="111" spans="1:28" ht="45.6" hidden="1" customHeight="1">
      <c r="A111" s="2516">
        <v>722435</v>
      </c>
      <c r="B111" s="2517" t="s">
        <v>115</v>
      </c>
      <c r="C111" s="2518"/>
      <c r="D111" s="2519">
        <v>475000</v>
      </c>
      <c r="E111" s="2520"/>
      <c r="F111" s="2521">
        <f>SUM(C111:E111)</f>
        <v>475000</v>
      </c>
      <c r="G111" s="2518"/>
      <c r="H111" s="2519"/>
      <c r="I111" s="2520"/>
      <c r="J111" s="2521">
        <f>SUM(G111:I111)</f>
        <v>0</v>
      </c>
      <c r="K111" s="2515">
        <f t="shared" si="13"/>
        <v>0</v>
      </c>
      <c r="L111" s="880"/>
      <c r="M111" s="880"/>
      <c r="N111" s="880"/>
      <c r="O111" s="880"/>
      <c r="P111" s="880"/>
      <c r="Q111" s="880"/>
      <c r="R111" s="880"/>
      <c r="S111" s="877">
        <f t="shared" si="14"/>
        <v>0</v>
      </c>
      <c r="T111" s="878"/>
      <c r="U111" s="878"/>
      <c r="V111" s="878"/>
      <c r="W111" s="877">
        <f t="shared" si="15"/>
        <v>0</v>
      </c>
      <c r="X111" s="267">
        <f t="shared" si="12"/>
        <v>0</v>
      </c>
      <c r="Y111" s="267">
        <f t="shared" si="16"/>
        <v>-475000</v>
      </c>
      <c r="Z111" s="474"/>
      <c r="AA111" s="474"/>
      <c r="AB111" s="453" t="e">
        <f>F111/#REF!*100</f>
        <v>#REF!</v>
      </c>
    </row>
    <row r="112" spans="1:28" ht="45.6" hidden="1" customHeight="1">
      <c r="A112" s="2516"/>
      <c r="B112" s="2532" t="s">
        <v>646</v>
      </c>
      <c r="C112" s="2518"/>
      <c r="D112" s="2519"/>
      <c r="E112" s="2520"/>
      <c r="F112" s="2521"/>
      <c r="G112" s="2518"/>
      <c r="H112" s="2519"/>
      <c r="I112" s="2520"/>
      <c r="J112" s="2521"/>
      <c r="K112" s="2515" t="e">
        <f t="shared" si="13"/>
        <v>#DIV/0!</v>
      </c>
      <c r="L112" s="880"/>
      <c r="M112" s="880"/>
      <c r="N112" s="880"/>
      <c r="O112" s="880"/>
      <c r="P112" s="880"/>
      <c r="Q112" s="880"/>
      <c r="R112" s="880"/>
      <c r="S112" s="877">
        <f t="shared" si="14"/>
        <v>0</v>
      </c>
      <c r="T112" s="878"/>
      <c r="U112" s="878"/>
      <c r="V112" s="878"/>
      <c r="W112" s="877">
        <f t="shared" si="15"/>
        <v>0</v>
      </c>
      <c r="X112" s="267">
        <f t="shared" si="12"/>
        <v>0</v>
      </c>
      <c r="Y112" s="267">
        <f t="shared" si="16"/>
        <v>0</v>
      </c>
      <c r="Z112" s="474"/>
      <c r="AA112" s="474"/>
      <c r="AB112" s="453" t="e">
        <f>F112/#REF!*100</f>
        <v>#REF!</v>
      </c>
    </row>
    <row r="113" spans="1:29" s="289" customFormat="1" ht="45.6" customHeight="1">
      <c r="A113" s="2537" t="s">
        <v>85</v>
      </c>
      <c r="B113" s="2538" t="s">
        <v>116</v>
      </c>
      <c r="C113" s="2539">
        <v>618000</v>
      </c>
      <c r="D113" s="2540">
        <v>471000</v>
      </c>
      <c r="E113" s="2541"/>
      <c r="F113" s="2542">
        <f>SUM(C113:E113)</f>
        <v>1089000</v>
      </c>
      <c r="G113" s="2539">
        <v>613000</v>
      </c>
      <c r="H113" s="2540">
        <v>441000</v>
      </c>
      <c r="I113" s="2541"/>
      <c r="J113" s="2542">
        <f>SUM(G113:I113)</f>
        <v>1054000</v>
      </c>
      <c r="K113" s="2515">
        <f t="shared" si="13"/>
        <v>96.786042240587705</v>
      </c>
      <c r="L113" s="880">
        <f>'prihodi posebni dio'!W65+'prihodi posebni dio'!W69+'prihodi posebni dio'!W71+'prihodi posebni dio'!W74</f>
        <v>613000</v>
      </c>
      <c r="M113" s="880"/>
      <c r="N113" s="880"/>
      <c r="O113" s="880"/>
      <c r="P113" s="880"/>
      <c r="Q113" s="880"/>
      <c r="R113" s="880"/>
      <c r="S113" s="877">
        <f t="shared" si="14"/>
        <v>0</v>
      </c>
      <c r="T113" s="880">
        <f>SUM('[7]PRIH REBALANS'!$AI$156:$AI$164)</f>
        <v>731821.19</v>
      </c>
      <c r="U113" s="880"/>
      <c r="V113" s="880"/>
      <c r="W113" s="877">
        <f t="shared" si="15"/>
        <v>0</v>
      </c>
      <c r="X113" s="267">
        <f t="shared" si="12"/>
        <v>0</v>
      </c>
      <c r="Y113" s="267">
        <f t="shared" si="16"/>
        <v>-1089000</v>
      </c>
      <c r="Z113" s="461">
        <f>[6]Sheet1!$T$41+[6]Sheet1!$T$47+[6]Sheet1!$T$50</f>
        <v>471000</v>
      </c>
      <c r="AA113" s="461"/>
      <c r="AB113" s="453" t="e">
        <f>F113/#REF!*100</f>
        <v>#REF!</v>
      </c>
      <c r="AC113" s="437">
        <f>[6]Sheet1!$S$40+[6]Sheet1!$S$44+[6]Sheet1!$S$46</f>
        <v>616000</v>
      </c>
    </row>
    <row r="114" spans="1:29" ht="29.25" hidden="1" customHeight="1">
      <c r="A114" s="2537" t="s">
        <v>884</v>
      </c>
      <c r="B114" s="2538" t="s">
        <v>116</v>
      </c>
      <c r="C114" s="2539"/>
      <c r="D114" s="2540"/>
      <c r="E114" s="2543"/>
      <c r="F114" s="2542">
        <f t="shared" ref="F114:F123" si="17">SUM(C114:E114)</f>
        <v>0</v>
      </c>
      <c r="G114" s="2539"/>
      <c r="H114" s="2540"/>
      <c r="I114" s="2543"/>
      <c r="J114" s="2542">
        <f t="shared" ref="J114:J123" si="18">SUM(G114:I114)</f>
        <v>0</v>
      </c>
      <c r="K114" s="2515" t="e">
        <f t="shared" si="13"/>
        <v>#DIV/0!</v>
      </c>
      <c r="L114" s="880"/>
      <c r="M114" s="880"/>
      <c r="N114" s="880"/>
      <c r="O114" s="880"/>
      <c r="P114" s="880"/>
      <c r="Q114" s="880"/>
      <c r="R114" s="880"/>
      <c r="S114" s="877">
        <f t="shared" si="14"/>
        <v>0</v>
      </c>
      <c r="T114" s="880"/>
      <c r="U114" s="880"/>
      <c r="V114" s="880"/>
      <c r="W114" s="877">
        <f t="shared" si="15"/>
        <v>0</v>
      </c>
      <c r="X114" s="267">
        <f t="shared" si="12"/>
        <v>0</v>
      </c>
      <c r="Y114" s="267">
        <f t="shared" si="16"/>
        <v>0</v>
      </c>
      <c r="Z114" s="461"/>
      <c r="AA114" s="461"/>
      <c r="AB114" s="453" t="e">
        <f>F114/#REF!*100</f>
        <v>#REF!</v>
      </c>
    </row>
    <row r="115" spans="1:29" ht="29.25" hidden="1" customHeight="1">
      <c r="A115" s="2537" t="s">
        <v>885</v>
      </c>
      <c r="B115" s="2538" t="s">
        <v>116</v>
      </c>
      <c r="C115" s="2539"/>
      <c r="D115" s="2540"/>
      <c r="E115" s="2543"/>
      <c r="F115" s="2542">
        <f t="shared" si="17"/>
        <v>0</v>
      </c>
      <c r="G115" s="2539"/>
      <c r="H115" s="2540"/>
      <c r="I115" s="2543"/>
      <c r="J115" s="2542">
        <f t="shared" si="18"/>
        <v>0</v>
      </c>
      <c r="K115" s="2515" t="e">
        <f t="shared" si="13"/>
        <v>#DIV/0!</v>
      </c>
      <c r="L115" s="880"/>
      <c r="M115" s="880"/>
      <c r="N115" s="880"/>
      <c r="O115" s="880"/>
      <c r="P115" s="880"/>
      <c r="Q115" s="880"/>
      <c r="R115" s="880"/>
      <c r="S115" s="877">
        <f t="shared" si="14"/>
        <v>0</v>
      </c>
      <c r="T115" s="880"/>
      <c r="U115" s="880"/>
      <c r="V115" s="880"/>
      <c r="W115" s="877">
        <f t="shared" si="15"/>
        <v>0</v>
      </c>
      <c r="X115" s="267">
        <f t="shared" si="12"/>
        <v>0</v>
      </c>
      <c r="Y115" s="267">
        <f t="shared" si="16"/>
        <v>0</v>
      </c>
      <c r="Z115" s="461"/>
      <c r="AA115" s="461"/>
      <c r="AB115" s="453" t="e">
        <f>F115/#REF!*100</f>
        <v>#REF!</v>
      </c>
    </row>
    <row r="116" spans="1:29" ht="29.25" hidden="1" customHeight="1">
      <c r="A116" s="2537" t="s">
        <v>886</v>
      </c>
      <c r="B116" s="2538" t="s">
        <v>116</v>
      </c>
      <c r="C116" s="2539"/>
      <c r="D116" s="2540"/>
      <c r="E116" s="2543"/>
      <c r="F116" s="2542">
        <f t="shared" si="17"/>
        <v>0</v>
      </c>
      <c r="G116" s="2539"/>
      <c r="H116" s="2540"/>
      <c r="I116" s="2543"/>
      <c r="J116" s="2542">
        <f t="shared" si="18"/>
        <v>0</v>
      </c>
      <c r="K116" s="2515" t="e">
        <f t="shared" si="13"/>
        <v>#DIV/0!</v>
      </c>
      <c r="L116" s="880"/>
      <c r="M116" s="880"/>
      <c r="N116" s="880"/>
      <c r="O116" s="880"/>
      <c r="P116" s="880"/>
      <c r="Q116" s="880"/>
      <c r="R116" s="880"/>
      <c r="S116" s="877">
        <f t="shared" si="14"/>
        <v>0</v>
      </c>
      <c r="T116" s="880"/>
      <c r="U116" s="880"/>
      <c r="V116" s="880"/>
      <c r="W116" s="877">
        <f t="shared" si="15"/>
        <v>0</v>
      </c>
      <c r="X116" s="267">
        <f t="shared" si="12"/>
        <v>0</v>
      </c>
      <c r="Y116" s="267">
        <f t="shared" si="16"/>
        <v>0</v>
      </c>
      <c r="Z116" s="461"/>
      <c r="AA116" s="461"/>
      <c r="AB116" s="453" t="e">
        <f>F116/#REF!*100</f>
        <v>#REF!</v>
      </c>
    </row>
    <row r="117" spans="1:29" ht="29.25" hidden="1" customHeight="1">
      <c r="A117" s="2537" t="s">
        <v>887</v>
      </c>
      <c r="B117" s="2538" t="s">
        <v>116</v>
      </c>
      <c r="C117" s="2539"/>
      <c r="D117" s="2540"/>
      <c r="E117" s="2543"/>
      <c r="F117" s="2542">
        <f t="shared" si="17"/>
        <v>0</v>
      </c>
      <c r="G117" s="2539"/>
      <c r="H117" s="2540"/>
      <c r="I117" s="2543"/>
      <c r="J117" s="2542">
        <f t="shared" si="18"/>
        <v>0</v>
      </c>
      <c r="K117" s="2515" t="e">
        <f t="shared" si="13"/>
        <v>#DIV/0!</v>
      </c>
      <c r="L117" s="880"/>
      <c r="M117" s="880"/>
      <c r="N117" s="880"/>
      <c r="O117" s="880"/>
      <c r="P117" s="880"/>
      <c r="Q117" s="880"/>
      <c r="R117" s="880"/>
      <c r="S117" s="877">
        <f t="shared" si="14"/>
        <v>0</v>
      </c>
      <c r="T117" s="880"/>
      <c r="U117" s="880"/>
      <c r="V117" s="880"/>
      <c r="W117" s="877">
        <f t="shared" si="15"/>
        <v>0</v>
      </c>
      <c r="X117" s="267">
        <f t="shared" si="12"/>
        <v>0</v>
      </c>
      <c r="Y117" s="267">
        <f t="shared" si="16"/>
        <v>0</v>
      </c>
      <c r="Z117" s="461"/>
      <c r="AA117" s="461"/>
      <c r="AB117" s="453" t="e">
        <f>F117/#REF!*100</f>
        <v>#REF!</v>
      </c>
    </row>
    <row r="118" spans="1:29" ht="29.25" hidden="1" customHeight="1">
      <c r="A118" s="2537" t="s">
        <v>888</v>
      </c>
      <c r="B118" s="2538" t="s">
        <v>116</v>
      </c>
      <c r="C118" s="2539"/>
      <c r="D118" s="2540"/>
      <c r="E118" s="2543"/>
      <c r="F118" s="2542">
        <f t="shared" si="17"/>
        <v>0</v>
      </c>
      <c r="G118" s="2539"/>
      <c r="H118" s="2540"/>
      <c r="I118" s="2543"/>
      <c r="J118" s="2542">
        <f t="shared" si="18"/>
        <v>0</v>
      </c>
      <c r="K118" s="2515" t="e">
        <f t="shared" si="13"/>
        <v>#DIV/0!</v>
      </c>
      <c r="L118" s="880"/>
      <c r="M118" s="880"/>
      <c r="N118" s="880"/>
      <c r="O118" s="880"/>
      <c r="P118" s="880"/>
      <c r="Q118" s="880"/>
      <c r="R118" s="880"/>
      <c r="S118" s="877">
        <f t="shared" si="14"/>
        <v>0</v>
      </c>
      <c r="T118" s="880"/>
      <c r="U118" s="880"/>
      <c r="V118" s="880"/>
      <c r="W118" s="877">
        <f t="shared" si="15"/>
        <v>0</v>
      </c>
      <c r="X118" s="267">
        <f t="shared" si="12"/>
        <v>0</v>
      </c>
      <c r="Y118" s="267">
        <f t="shared" si="16"/>
        <v>0</v>
      </c>
      <c r="Z118" s="461"/>
      <c r="AA118" s="461"/>
      <c r="AB118" s="453" t="e">
        <f>F118/#REF!*100</f>
        <v>#REF!</v>
      </c>
    </row>
    <row r="119" spans="1:29" ht="29.25" hidden="1" customHeight="1">
      <c r="A119" s="2537" t="s">
        <v>889</v>
      </c>
      <c r="B119" s="2538" t="s">
        <v>116</v>
      </c>
      <c r="C119" s="2539"/>
      <c r="D119" s="2540"/>
      <c r="E119" s="2543"/>
      <c r="F119" s="2542">
        <f t="shared" si="17"/>
        <v>0</v>
      </c>
      <c r="G119" s="2539"/>
      <c r="H119" s="2540"/>
      <c r="I119" s="2543"/>
      <c r="J119" s="2542">
        <f t="shared" si="18"/>
        <v>0</v>
      </c>
      <c r="K119" s="2515" t="e">
        <f t="shared" si="13"/>
        <v>#DIV/0!</v>
      </c>
      <c r="L119" s="880"/>
      <c r="M119" s="880"/>
      <c r="N119" s="880"/>
      <c r="O119" s="880"/>
      <c r="P119" s="880"/>
      <c r="Q119" s="880"/>
      <c r="R119" s="880"/>
      <c r="S119" s="877">
        <f t="shared" si="14"/>
        <v>0</v>
      </c>
      <c r="T119" s="880"/>
      <c r="U119" s="880"/>
      <c r="V119" s="880"/>
      <c r="W119" s="877">
        <f t="shared" si="15"/>
        <v>0</v>
      </c>
      <c r="X119" s="267">
        <f t="shared" si="12"/>
        <v>0</v>
      </c>
      <c r="Y119" s="267">
        <f t="shared" si="16"/>
        <v>0</v>
      </c>
      <c r="Z119" s="461"/>
      <c r="AA119" s="461"/>
      <c r="AB119" s="453" t="e">
        <f>F119/#REF!*100</f>
        <v>#REF!</v>
      </c>
    </row>
    <row r="120" spans="1:29" ht="29.25" hidden="1" customHeight="1">
      <c r="A120" s="2537" t="s">
        <v>890</v>
      </c>
      <c r="B120" s="2538" t="s">
        <v>116</v>
      </c>
      <c r="C120" s="2539"/>
      <c r="D120" s="2540"/>
      <c r="E120" s="2543"/>
      <c r="F120" s="2542">
        <f t="shared" si="17"/>
        <v>0</v>
      </c>
      <c r="G120" s="2539"/>
      <c r="H120" s="2540"/>
      <c r="I120" s="2543"/>
      <c r="J120" s="2542">
        <f t="shared" si="18"/>
        <v>0</v>
      </c>
      <c r="K120" s="2515" t="e">
        <f t="shared" si="13"/>
        <v>#DIV/0!</v>
      </c>
      <c r="L120" s="880"/>
      <c r="M120" s="880"/>
      <c r="N120" s="880"/>
      <c r="O120" s="880"/>
      <c r="P120" s="880"/>
      <c r="Q120" s="880"/>
      <c r="R120" s="880"/>
      <c r="S120" s="877">
        <f t="shared" si="14"/>
        <v>0</v>
      </c>
      <c r="T120" s="880"/>
      <c r="U120" s="880"/>
      <c r="V120" s="880"/>
      <c r="W120" s="877">
        <f t="shared" si="15"/>
        <v>0</v>
      </c>
      <c r="X120" s="267">
        <f t="shared" si="12"/>
        <v>0</v>
      </c>
      <c r="Y120" s="267">
        <f t="shared" si="16"/>
        <v>0</v>
      </c>
      <c r="Z120" s="461"/>
      <c r="AA120" s="461"/>
      <c r="AB120" s="453" t="e">
        <f>F120/#REF!*100</f>
        <v>#REF!</v>
      </c>
    </row>
    <row r="121" spans="1:29" ht="29.25" hidden="1" customHeight="1">
      <c r="A121" s="2537" t="s">
        <v>891</v>
      </c>
      <c r="B121" s="2538" t="s">
        <v>116</v>
      </c>
      <c r="C121" s="2539"/>
      <c r="D121" s="2540"/>
      <c r="E121" s="2543"/>
      <c r="F121" s="2542">
        <f t="shared" si="17"/>
        <v>0</v>
      </c>
      <c r="G121" s="2539"/>
      <c r="H121" s="2540"/>
      <c r="I121" s="2543"/>
      <c r="J121" s="2542">
        <f t="shared" si="18"/>
        <v>0</v>
      </c>
      <c r="K121" s="2515" t="e">
        <f t="shared" si="13"/>
        <v>#DIV/0!</v>
      </c>
      <c r="L121" s="880"/>
      <c r="M121" s="880"/>
      <c r="N121" s="880"/>
      <c r="O121" s="880"/>
      <c r="P121" s="880"/>
      <c r="Q121" s="880"/>
      <c r="R121" s="880"/>
      <c r="S121" s="877">
        <f t="shared" si="14"/>
        <v>0</v>
      </c>
      <c r="T121" s="880"/>
      <c r="U121" s="880"/>
      <c r="V121" s="880"/>
      <c r="W121" s="877">
        <f t="shared" si="15"/>
        <v>0</v>
      </c>
      <c r="X121" s="267">
        <f t="shared" si="12"/>
        <v>0</v>
      </c>
      <c r="Y121" s="267">
        <f t="shared" si="16"/>
        <v>0</v>
      </c>
      <c r="Z121" s="461"/>
      <c r="AA121" s="461"/>
      <c r="AB121" s="453" t="e">
        <f>F121/#REF!*100</f>
        <v>#REF!</v>
      </c>
    </row>
    <row r="122" spans="1:29" ht="29.25" hidden="1" customHeight="1">
      <c r="A122" s="2537" t="s">
        <v>892</v>
      </c>
      <c r="B122" s="2538" t="s">
        <v>116</v>
      </c>
      <c r="C122" s="2539"/>
      <c r="D122" s="2540"/>
      <c r="E122" s="2543"/>
      <c r="F122" s="2542">
        <f t="shared" si="17"/>
        <v>0</v>
      </c>
      <c r="G122" s="2539"/>
      <c r="H122" s="2540"/>
      <c r="I122" s="2543"/>
      <c r="J122" s="2542">
        <f t="shared" si="18"/>
        <v>0</v>
      </c>
      <c r="K122" s="2515" t="e">
        <f t="shared" si="13"/>
        <v>#DIV/0!</v>
      </c>
      <c r="L122" s="880"/>
      <c r="M122" s="880"/>
      <c r="N122" s="880"/>
      <c r="O122" s="880"/>
      <c r="P122" s="880"/>
      <c r="Q122" s="880"/>
      <c r="R122" s="880"/>
      <c r="S122" s="877">
        <f t="shared" si="14"/>
        <v>0</v>
      </c>
      <c r="T122" s="880"/>
      <c r="U122" s="880"/>
      <c r="V122" s="880"/>
      <c r="W122" s="877">
        <f t="shared" si="15"/>
        <v>0</v>
      </c>
      <c r="X122" s="267">
        <f t="shared" si="12"/>
        <v>0</v>
      </c>
      <c r="Y122" s="267">
        <f t="shared" si="16"/>
        <v>0</v>
      </c>
      <c r="Z122" s="461"/>
      <c r="AA122" s="461"/>
      <c r="AB122" s="453" t="e">
        <f>F122/#REF!*100</f>
        <v>#REF!</v>
      </c>
    </row>
    <row r="123" spans="1:29" ht="54.75" customHeight="1">
      <c r="A123" s="2537" t="s">
        <v>85</v>
      </c>
      <c r="B123" s="2538" t="s">
        <v>893</v>
      </c>
      <c r="C123" s="2539"/>
      <c r="D123" s="2540">
        <v>731822</v>
      </c>
      <c r="E123" s="2543"/>
      <c r="F123" s="2542">
        <f t="shared" si="17"/>
        <v>731822</v>
      </c>
      <c r="G123" s="2539"/>
      <c r="H123" s="2540"/>
      <c r="I123" s="2543"/>
      <c r="J123" s="2542">
        <f t="shared" si="18"/>
        <v>0</v>
      </c>
      <c r="K123" s="2515">
        <f t="shared" si="13"/>
        <v>0</v>
      </c>
      <c r="L123" s="880"/>
      <c r="M123" s="880"/>
      <c r="N123" s="880"/>
      <c r="O123" s="880"/>
      <c r="P123" s="880"/>
      <c r="Q123" s="880"/>
      <c r="R123" s="880"/>
      <c r="S123" s="877">
        <f t="shared" si="14"/>
        <v>0</v>
      </c>
      <c r="T123" s="880"/>
      <c r="U123" s="880"/>
      <c r="V123" s="880"/>
      <c r="W123" s="877">
        <f t="shared" si="15"/>
        <v>0</v>
      </c>
      <c r="X123" s="267">
        <f t="shared" si="12"/>
        <v>0</v>
      </c>
      <c r="Y123" s="267">
        <f t="shared" si="16"/>
        <v>-731822</v>
      </c>
      <c r="Z123" s="461"/>
      <c r="AA123" s="461"/>
      <c r="AB123" s="453" t="e">
        <f>F123/#REF!*100</f>
        <v>#REF!</v>
      </c>
    </row>
    <row r="124" spans="1:29" s="289" customFormat="1" ht="29.25" customHeight="1">
      <c r="A124" s="2502"/>
      <c r="B124" s="2524" t="s">
        <v>117</v>
      </c>
      <c r="C124" s="2504">
        <f>SUM(C125:C174)</f>
        <v>18694360</v>
      </c>
      <c r="D124" s="2505">
        <f t="shared" ref="D124:E124" si="19">SUM(D125:D174)</f>
        <v>20222925.130000003</v>
      </c>
      <c r="E124" s="2506">
        <f t="shared" si="19"/>
        <v>0</v>
      </c>
      <c r="F124" s="2507">
        <f>SUM(F125:F174)</f>
        <v>38917285.129999995</v>
      </c>
      <c r="G124" s="2504">
        <f>G125+G127+G132+G161+G164+G170</f>
        <v>13070910</v>
      </c>
      <c r="H124" s="2505">
        <f t="shared" ref="H124:I124" si="20">SUM(H125:H174)</f>
        <v>7522000</v>
      </c>
      <c r="I124" s="2506">
        <f t="shared" si="20"/>
        <v>0</v>
      </c>
      <c r="J124" s="2507">
        <f>SUM(J125:J174)</f>
        <v>20592910</v>
      </c>
      <c r="K124" s="2508">
        <f t="shared" si="13"/>
        <v>52.914559510539014</v>
      </c>
      <c r="L124" s="877">
        <f>'[1]PRIH REBALANS'!$AG$147</f>
        <v>13070910</v>
      </c>
      <c r="M124" s="877">
        <f>L124-G124</f>
        <v>0</v>
      </c>
      <c r="N124" s="877"/>
      <c r="O124" s="877"/>
      <c r="P124" s="877"/>
      <c r="Q124" s="877"/>
      <c r="R124" s="877"/>
      <c r="S124" s="877">
        <f t="shared" si="14"/>
        <v>0</v>
      </c>
      <c r="T124" s="877">
        <f>'prihodi posebni dio'!V77</f>
        <v>38917286.600000001</v>
      </c>
      <c r="U124" s="877"/>
      <c r="V124" s="877"/>
      <c r="W124" s="877">
        <f t="shared" si="15"/>
        <v>0</v>
      </c>
      <c r="X124" s="267">
        <f t="shared" si="12"/>
        <v>0</v>
      </c>
      <c r="Y124" s="267">
        <f>X124-F124</f>
        <v>-38917285.129999995</v>
      </c>
      <c r="Z124" s="267">
        <f>'[2]PRIH REBALANS'!$AH$167+'[2]PRIH REBALANS'!$AI$167</f>
        <v>20222927.420000002</v>
      </c>
      <c r="AA124" s="267"/>
      <c r="AB124" s="453" t="e">
        <f>F124/#REF!*100</f>
        <v>#REF!</v>
      </c>
    </row>
    <row r="125" spans="1:29" ht="42.75" customHeight="1">
      <c r="A125" s="2516" t="s">
        <v>118</v>
      </c>
      <c r="B125" s="2517" t="s">
        <v>119</v>
      </c>
      <c r="C125" s="2544">
        <v>1100000</v>
      </c>
      <c r="D125" s="2535"/>
      <c r="E125" s="2520"/>
      <c r="F125" s="2521">
        <f>SUM(C125:E125)</f>
        <v>1100000</v>
      </c>
      <c r="G125" s="2544">
        <v>1000000</v>
      </c>
      <c r="H125" s="2535"/>
      <c r="I125" s="2520"/>
      <c r="J125" s="2521">
        <f>SUM(G125:I125)</f>
        <v>1000000</v>
      </c>
      <c r="K125" s="2515">
        <f t="shared" si="13"/>
        <v>90.909090909090907</v>
      </c>
      <c r="L125" s="880"/>
      <c r="M125" s="880"/>
      <c r="N125" s="880"/>
      <c r="O125" s="880"/>
      <c r="P125" s="880"/>
      <c r="Q125" s="880"/>
      <c r="R125" s="880"/>
      <c r="S125" s="877">
        <f t="shared" si="14"/>
        <v>0</v>
      </c>
      <c r="T125" s="879"/>
      <c r="U125" s="879"/>
      <c r="V125" s="879"/>
      <c r="W125" s="877">
        <f t="shared" si="15"/>
        <v>0</v>
      </c>
      <c r="X125" s="267">
        <f t="shared" si="12"/>
        <v>0</v>
      </c>
      <c r="Y125" s="267">
        <f t="shared" si="16"/>
        <v>-1100000</v>
      </c>
      <c r="Z125" s="475">
        <f>D124-Z124</f>
        <v>-2.2899999991059303</v>
      </c>
      <c r="AA125" s="475"/>
      <c r="AB125" s="453" t="e">
        <f>F125/#REF!*100</f>
        <v>#REF!</v>
      </c>
    </row>
    <row r="126" spans="1:29" ht="42.75" hidden="1" customHeight="1">
      <c r="A126" s="2516">
        <v>722131</v>
      </c>
      <c r="B126" s="2517" t="s">
        <v>120</v>
      </c>
      <c r="C126" s="2518"/>
      <c r="D126" s="2519"/>
      <c r="E126" s="2520"/>
      <c r="F126" s="2521">
        <f t="shared" ref="F126:F174" si="21">SUM(C126:E126)</f>
        <v>0</v>
      </c>
      <c r="G126" s="2518"/>
      <c r="H126" s="2519"/>
      <c r="I126" s="2520"/>
      <c r="J126" s="2521">
        <f t="shared" ref="J126:J174" si="22">SUM(G126:I126)</f>
        <v>0</v>
      </c>
      <c r="K126" s="2515" t="e">
        <f t="shared" si="13"/>
        <v>#DIV/0!</v>
      </c>
      <c r="L126" s="880"/>
      <c r="M126" s="880"/>
      <c r="N126" s="880"/>
      <c r="O126" s="880"/>
      <c r="P126" s="880"/>
      <c r="Q126" s="880"/>
      <c r="R126" s="880"/>
      <c r="S126" s="877">
        <f t="shared" si="14"/>
        <v>0</v>
      </c>
      <c r="T126" s="879"/>
      <c r="U126" s="879"/>
      <c r="V126" s="879"/>
      <c r="W126" s="877">
        <f t="shared" si="15"/>
        <v>0</v>
      </c>
      <c r="X126" s="267">
        <f t="shared" si="12"/>
        <v>0</v>
      </c>
      <c r="Y126" s="267">
        <f t="shared" si="16"/>
        <v>0</v>
      </c>
      <c r="Z126" s="475"/>
      <c r="AA126" s="475"/>
      <c r="AB126" s="453" t="e">
        <f>F126/#REF!*100</f>
        <v>#REF!</v>
      </c>
    </row>
    <row r="127" spans="1:29" ht="42.75" customHeight="1">
      <c r="A127" s="2516">
        <v>722300</v>
      </c>
      <c r="B127" s="2517" t="s">
        <v>121</v>
      </c>
      <c r="C127" s="2544">
        <v>5008000</v>
      </c>
      <c r="D127" s="2535"/>
      <c r="E127" s="2520"/>
      <c r="F127" s="2521">
        <f t="shared" si="21"/>
        <v>5008000</v>
      </c>
      <c r="G127" s="2544">
        <v>5508000</v>
      </c>
      <c r="H127" s="2535"/>
      <c r="I127" s="2520"/>
      <c r="J127" s="2521">
        <f t="shared" si="22"/>
        <v>5508000</v>
      </c>
      <c r="K127" s="2515">
        <f t="shared" si="13"/>
        <v>109.98402555910542</v>
      </c>
      <c r="L127" s="880"/>
      <c r="M127" s="880"/>
      <c r="N127" s="880"/>
      <c r="O127" s="880"/>
      <c r="P127" s="880"/>
      <c r="Q127" s="880"/>
      <c r="R127" s="880"/>
      <c r="S127" s="877">
        <f t="shared" si="14"/>
        <v>0</v>
      </c>
      <c r="T127" s="879">
        <f>SUM('[7]PRIH REBALANS'!$AH$167:$AI$167)</f>
        <v>20222927.420000002</v>
      </c>
      <c r="U127" s="879"/>
      <c r="V127" s="879"/>
      <c r="W127" s="877">
        <f t="shared" si="15"/>
        <v>0</v>
      </c>
      <c r="X127" s="267">
        <f t="shared" si="12"/>
        <v>0</v>
      </c>
      <c r="Y127" s="267">
        <f t="shared" si="16"/>
        <v>-5008000</v>
      </c>
      <c r="Z127" s="475"/>
      <c r="AA127" s="475"/>
      <c r="AB127" s="453" t="e">
        <f>F127/#REF!*100</f>
        <v>#REF!</v>
      </c>
      <c r="AC127" s="209">
        <f>[6]Sheet1!$W$56</f>
        <v>5008000</v>
      </c>
    </row>
    <row r="128" spans="1:29" ht="42.75" hidden="1" customHeight="1">
      <c r="A128" s="2516">
        <v>722321</v>
      </c>
      <c r="B128" s="2517" t="s">
        <v>122</v>
      </c>
      <c r="C128" s="2518"/>
      <c r="D128" s="2519"/>
      <c r="E128" s="2520"/>
      <c r="F128" s="2521">
        <f t="shared" si="21"/>
        <v>0</v>
      </c>
      <c r="G128" s="2518"/>
      <c r="H128" s="2519"/>
      <c r="I128" s="2520"/>
      <c r="J128" s="2521">
        <f t="shared" si="22"/>
        <v>0</v>
      </c>
      <c r="K128" s="2515" t="e">
        <f t="shared" si="13"/>
        <v>#DIV/0!</v>
      </c>
      <c r="L128" s="880"/>
      <c r="M128" s="880"/>
      <c r="N128" s="880"/>
      <c r="O128" s="880"/>
      <c r="P128" s="880"/>
      <c r="Q128" s="880"/>
      <c r="R128" s="880"/>
      <c r="S128" s="877">
        <f t="shared" si="14"/>
        <v>0</v>
      </c>
      <c r="T128" s="879"/>
      <c r="U128" s="879"/>
      <c r="V128" s="879"/>
      <c r="W128" s="877">
        <f t="shared" si="15"/>
        <v>0</v>
      </c>
      <c r="X128" s="267">
        <f t="shared" si="12"/>
        <v>0</v>
      </c>
      <c r="Y128" s="267">
        <f t="shared" si="16"/>
        <v>0</v>
      </c>
      <c r="Z128" s="475"/>
      <c r="AA128" s="475"/>
      <c r="AB128" s="453" t="e">
        <f>F128/#REF!*100</f>
        <v>#REF!</v>
      </c>
    </row>
    <row r="129" spans="1:29" ht="42.75" hidden="1" customHeight="1">
      <c r="A129" s="2516">
        <v>722321</v>
      </c>
      <c r="B129" s="2517" t="s">
        <v>123</v>
      </c>
      <c r="C129" s="2518"/>
      <c r="D129" s="2519"/>
      <c r="E129" s="2520"/>
      <c r="F129" s="2521">
        <f t="shared" si="21"/>
        <v>0</v>
      </c>
      <c r="G129" s="2518"/>
      <c r="H129" s="2519"/>
      <c r="I129" s="2520"/>
      <c r="J129" s="2521">
        <f t="shared" si="22"/>
        <v>0</v>
      </c>
      <c r="K129" s="2515" t="e">
        <f t="shared" si="13"/>
        <v>#DIV/0!</v>
      </c>
      <c r="L129" s="880"/>
      <c r="M129" s="880"/>
      <c r="N129" s="880"/>
      <c r="O129" s="880"/>
      <c r="P129" s="880"/>
      <c r="Q129" s="880"/>
      <c r="R129" s="880"/>
      <c r="S129" s="877">
        <f t="shared" si="14"/>
        <v>0</v>
      </c>
      <c r="T129" s="879"/>
      <c r="U129" s="879"/>
      <c r="V129" s="879"/>
      <c r="W129" s="877">
        <f t="shared" si="15"/>
        <v>0</v>
      </c>
      <c r="X129" s="267">
        <f t="shared" si="12"/>
        <v>0</v>
      </c>
      <c r="Y129" s="267">
        <f t="shared" si="16"/>
        <v>0</v>
      </c>
      <c r="Z129" s="475"/>
      <c r="AA129" s="475"/>
      <c r="AB129" s="453" t="e">
        <f>F129/#REF!*100</f>
        <v>#REF!</v>
      </c>
    </row>
    <row r="130" spans="1:29" ht="42.75" hidden="1" customHeight="1">
      <c r="A130" s="2516">
        <v>722329</v>
      </c>
      <c r="B130" s="2517" t="s">
        <v>124</v>
      </c>
      <c r="C130" s="2518"/>
      <c r="D130" s="2519"/>
      <c r="E130" s="2520"/>
      <c r="F130" s="2521">
        <f t="shared" si="21"/>
        <v>0</v>
      </c>
      <c r="G130" s="2518"/>
      <c r="H130" s="2519"/>
      <c r="I130" s="2520"/>
      <c r="J130" s="2521">
        <f t="shared" si="22"/>
        <v>0</v>
      </c>
      <c r="K130" s="2515" t="e">
        <f t="shared" si="13"/>
        <v>#DIV/0!</v>
      </c>
      <c r="L130" s="880"/>
      <c r="M130" s="880"/>
      <c r="N130" s="880"/>
      <c r="O130" s="880"/>
      <c r="P130" s="880"/>
      <c r="Q130" s="880"/>
      <c r="R130" s="880"/>
      <c r="S130" s="877">
        <f t="shared" si="14"/>
        <v>0</v>
      </c>
      <c r="T130" s="879"/>
      <c r="U130" s="879"/>
      <c r="V130" s="879"/>
      <c r="W130" s="877">
        <f t="shared" si="15"/>
        <v>0</v>
      </c>
      <c r="X130" s="267">
        <f t="shared" si="12"/>
        <v>0</v>
      </c>
      <c r="Y130" s="267">
        <f t="shared" si="16"/>
        <v>0</v>
      </c>
      <c r="Z130" s="475"/>
      <c r="AA130" s="475"/>
      <c r="AB130" s="453" t="e">
        <f>F130/#REF!*100</f>
        <v>#REF!</v>
      </c>
    </row>
    <row r="131" spans="1:29" ht="42.75" hidden="1" customHeight="1">
      <c r="A131" s="2516">
        <v>722329</v>
      </c>
      <c r="B131" s="2517" t="s">
        <v>125</v>
      </c>
      <c r="C131" s="2518"/>
      <c r="D131" s="2519"/>
      <c r="E131" s="2520"/>
      <c r="F131" s="2521">
        <f t="shared" si="21"/>
        <v>0</v>
      </c>
      <c r="G131" s="2518"/>
      <c r="H131" s="2519"/>
      <c r="I131" s="2520"/>
      <c r="J131" s="2521">
        <f t="shared" si="22"/>
        <v>0</v>
      </c>
      <c r="K131" s="2515" t="e">
        <f t="shared" si="13"/>
        <v>#DIV/0!</v>
      </c>
      <c r="L131" s="880"/>
      <c r="M131" s="880"/>
      <c r="N131" s="880"/>
      <c r="O131" s="880"/>
      <c r="P131" s="880"/>
      <c r="Q131" s="880"/>
      <c r="R131" s="880"/>
      <c r="S131" s="877">
        <f t="shared" si="14"/>
        <v>0</v>
      </c>
      <c r="T131" s="879"/>
      <c r="U131" s="879"/>
      <c r="V131" s="879"/>
      <c r="W131" s="877">
        <f t="shared" si="15"/>
        <v>0</v>
      </c>
      <c r="X131" s="267">
        <f t="shared" si="12"/>
        <v>0</v>
      </c>
      <c r="Y131" s="267">
        <f t="shared" si="16"/>
        <v>0</v>
      </c>
      <c r="Z131" s="475"/>
      <c r="AA131" s="475"/>
      <c r="AB131" s="453" t="e">
        <f>F131/#REF!*100</f>
        <v>#REF!</v>
      </c>
    </row>
    <row r="132" spans="1:29" ht="42.75" customHeight="1">
      <c r="A132" s="2516">
        <v>722400</v>
      </c>
      <c r="B132" s="2517" t="s">
        <v>126</v>
      </c>
      <c r="C132" s="2518">
        <v>7515000</v>
      </c>
      <c r="D132" s="2519">
        <v>7450000</v>
      </c>
      <c r="E132" s="2523"/>
      <c r="F132" s="2521">
        <f t="shared" si="21"/>
        <v>14965000</v>
      </c>
      <c r="G132" s="2518">
        <v>5991590</v>
      </c>
      <c r="H132" s="2519">
        <v>5090000</v>
      </c>
      <c r="I132" s="2523"/>
      <c r="J132" s="2521">
        <f t="shared" si="22"/>
        <v>11081590</v>
      </c>
      <c r="K132" s="2515">
        <f t="shared" si="13"/>
        <v>74.050050116939531</v>
      </c>
      <c r="L132" s="880"/>
      <c r="M132" s="880"/>
      <c r="N132" s="880"/>
      <c r="O132" s="880"/>
      <c r="P132" s="880"/>
      <c r="Q132" s="880"/>
      <c r="R132" s="880"/>
      <c r="S132" s="877">
        <f t="shared" si="14"/>
        <v>0</v>
      </c>
      <c r="T132" s="879"/>
      <c r="U132" s="879"/>
      <c r="V132" s="879"/>
      <c r="W132" s="877">
        <f t="shared" si="15"/>
        <v>0</v>
      </c>
      <c r="X132" s="267">
        <f t="shared" ref="X132:X191" si="23">C132+D132+E132-F132</f>
        <v>0</v>
      </c>
      <c r="Y132" s="267">
        <f>X132-F132</f>
        <v>-14965000</v>
      </c>
      <c r="Z132" s="475">
        <f>F132+X146</f>
        <v>14965000</v>
      </c>
      <c r="AA132" s="475"/>
      <c r="AB132" s="453" t="e">
        <f>F132/#REF!*100</f>
        <v>#REF!</v>
      </c>
      <c r="AC132" s="209">
        <f>[6]Sheet1!$S$61</f>
        <v>7515000</v>
      </c>
    </row>
    <row r="133" spans="1:29" ht="42.75" hidden="1" customHeight="1">
      <c r="A133" s="2516">
        <v>722400</v>
      </c>
      <c r="B133" s="2517" t="s">
        <v>126</v>
      </c>
      <c r="C133" s="2518"/>
      <c r="D133" s="2519"/>
      <c r="E133" s="2520"/>
      <c r="F133" s="2521">
        <f t="shared" si="21"/>
        <v>0</v>
      </c>
      <c r="G133" s="2518"/>
      <c r="H133" s="2519"/>
      <c r="I133" s="2520"/>
      <c r="J133" s="2521">
        <f t="shared" si="22"/>
        <v>0</v>
      </c>
      <c r="K133" s="2515" t="e">
        <f t="shared" si="13"/>
        <v>#DIV/0!</v>
      </c>
      <c r="L133" s="880"/>
      <c r="M133" s="880"/>
      <c r="N133" s="880"/>
      <c r="O133" s="880"/>
      <c r="P133" s="880"/>
      <c r="Q133" s="880"/>
      <c r="R133" s="880"/>
      <c r="S133" s="877">
        <f t="shared" si="14"/>
        <v>0</v>
      </c>
      <c r="T133" s="879"/>
      <c r="U133" s="879"/>
      <c r="V133" s="879"/>
      <c r="W133" s="877">
        <f t="shared" si="15"/>
        <v>0</v>
      </c>
      <c r="X133" s="267">
        <f t="shared" si="23"/>
        <v>0</v>
      </c>
      <c r="Y133" s="267">
        <f t="shared" si="16"/>
        <v>0</v>
      </c>
      <c r="Z133" s="475"/>
      <c r="AA133" s="475"/>
      <c r="AB133" s="453" t="e">
        <f>F133/#REF!*100</f>
        <v>#REF!</v>
      </c>
    </row>
    <row r="134" spans="1:29" ht="42.75" hidden="1" customHeight="1">
      <c r="A134" s="2516">
        <v>722400</v>
      </c>
      <c r="B134" s="2517" t="s">
        <v>126</v>
      </c>
      <c r="C134" s="2518"/>
      <c r="D134" s="2519"/>
      <c r="E134" s="2520"/>
      <c r="F134" s="2521">
        <f t="shared" si="21"/>
        <v>0</v>
      </c>
      <c r="G134" s="2518"/>
      <c r="H134" s="2519"/>
      <c r="I134" s="2520"/>
      <c r="J134" s="2521">
        <f t="shared" si="22"/>
        <v>0</v>
      </c>
      <c r="K134" s="2515" t="e">
        <f t="shared" si="13"/>
        <v>#DIV/0!</v>
      </c>
      <c r="L134" s="880"/>
      <c r="M134" s="880"/>
      <c r="N134" s="880"/>
      <c r="O134" s="880"/>
      <c r="P134" s="880"/>
      <c r="Q134" s="880"/>
      <c r="R134" s="880"/>
      <c r="S134" s="877">
        <f t="shared" si="14"/>
        <v>0</v>
      </c>
      <c r="T134" s="879"/>
      <c r="U134" s="879"/>
      <c r="V134" s="879"/>
      <c r="W134" s="877">
        <f t="shared" si="15"/>
        <v>0</v>
      </c>
      <c r="X134" s="267">
        <f t="shared" si="23"/>
        <v>0</v>
      </c>
      <c r="Y134" s="267">
        <f t="shared" si="16"/>
        <v>0</v>
      </c>
      <c r="Z134" s="475"/>
      <c r="AA134" s="475"/>
      <c r="AB134" s="453" t="e">
        <f>F134/#REF!*100</f>
        <v>#REF!</v>
      </c>
    </row>
    <row r="135" spans="1:29" ht="42.75" hidden="1" customHeight="1">
      <c r="A135" s="2516">
        <v>722400</v>
      </c>
      <c r="B135" s="2517" t="s">
        <v>126</v>
      </c>
      <c r="C135" s="2518"/>
      <c r="D135" s="2519"/>
      <c r="E135" s="2520"/>
      <c r="F135" s="2521">
        <f t="shared" si="21"/>
        <v>0</v>
      </c>
      <c r="G135" s="2518"/>
      <c r="H135" s="2519"/>
      <c r="I135" s="2520"/>
      <c r="J135" s="2521">
        <f t="shared" si="22"/>
        <v>0</v>
      </c>
      <c r="K135" s="2515" t="e">
        <f t="shared" ref="K135:K198" si="24">J135/F135*100</f>
        <v>#DIV/0!</v>
      </c>
      <c r="L135" s="880"/>
      <c r="M135" s="880"/>
      <c r="N135" s="880"/>
      <c r="O135" s="880"/>
      <c r="P135" s="880"/>
      <c r="Q135" s="880"/>
      <c r="R135" s="880"/>
      <c r="S135" s="877">
        <f t="shared" ref="S135:S198" si="25">C135+D135+E135-F135</f>
        <v>0</v>
      </c>
      <c r="T135" s="879"/>
      <c r="U135" s="879"/>
      <c r="V135" s="879"/>
      <c r="W135" s="877">
        <f t="shared" ref="W135:W198" si="26">C135+D135+E135-F135</f>
        <v>0</v>
      </c>
      <c r="X135" s="267">
        <f t="shared" si="23"/>
        <v>0</v>
      </c>
      <c r="Y135" s="267">
        <f t="shared" ref="Y135:Y152" si="27">X135-F135</f>
        <v>0</v>
      </c>
      <c r="Z135" s="475"/>
      <c r="AA135" s="475"/>
      <c r="AB135" s="453" t="e">
        <f>F135/#REF!*100</f>
        <v>#REF!</v>
      </c>
    </row>
    <row r="136" spans="1:29" ht="42.75" hidden="1" customHeight="1">
      <c r="A136" s="2516">
        <v>722400</v>
      </c>
      <c r="B136" s="2517" t="s">
        <v>126</v>
      </c>
      <c r="C136" s="2518"/>
      <c r="D136" s="2519"/>
      <c r="E136" s="2520"/>
      <c r="F136" s="2521">
        <f t="shared" si="21"/>
        <v>0</v>
      </c>
      <c r="G136" s="2518"/>
      <c r="H136" s="2519"/>
      <c r="I136" s="2520"/>
      <c r="J136" s="2521">
        <f t="shared" si="22"/>
        <v>0</v>
      </c>
      <c r="K136" s="2515" t="e">
        <f t="shared" si="24"/>
        <v>#DIV/0!</v>
      </c>
      <c r="L136" s="880"/>
      <c r="M136" s="880"/>
      <c r="N136" s="880"/>
      <c r="O136" s="880"/>
      <c r="P136" s="880"/>
      <c r="Q136" s="880"/>
      <c r="R136" s="880"/>
      <c r="S136" s="877">
        <f t="shared" si="25"/>
        <v>0</v>
      </c>
      <c r="T136" s="879"/>
      <c r="U136" s="879"/>
      <c r="V136" s="879"/>
      <c r="W136" s="877">
        <f t="shared" si="26"/>
        <v>0</v>
      </c>
      <c r="X136" s="267">
        <f t="shared" si="23"/>
        <v>0</v>
      </c>
      <c r="Y136" s="267">
        <f t="shared" si="27"/>
        <v>0</v>
      </c>
      <c r="Z136" s="475"/>
      <c r="AA136" s="475"/>
      <c r="AB136" s="453" t="e">
        <f>F136/#REF!*100</f>
        <v>#REF!</v>
      </c>
    </row>
    <row r="137" spans="1:29" ht="42.75" hidden="1" customHeight="1">
      <c r="A137" s="2516">
        <v>722400</v>
      </c>
      <c r="B137" s="2517" t="s">
        <v>126</v>
      </c>
      <c r="C137" s="2518"/>
      <c r="D137" s="2519"/>
      <c r="E137" s="2520"/>
      <c r="F137" s="2521">
        <f t="shared" si="21"/>
        <v>0</v>
      </c>
      <c r="G137" s="2518"/>
      <c r="H137" s="2519"/>
      <c r="I137" s="2520"/>
      <c r="J137" s="2521">
        <f t="shared" si="22"/>
        <v>0</v>
      </c>
      <c r="K137" s="2515" t="e">
        <f t="shared" si="24"/>
        <v>#DIV/0!</v>
      </c>
      <c r="L137" s="880"/>
      <c r="M137" s="880"/>
      <c r="N137" s="880"/>
      <c r="O137" s="880"/>
      <c r="P137" s="880"/>
      <c r="Q137" s="880"/>
      <c r="R137" s="880"/>
      <c r="S137" s="877">
        <f t="shared" si="25"/>
        <v>0</v>
      </c>
      <c r="T137" s="879"/>
      <c r="U137" s="879"/>
      <c r="V137" s="879"/>
      <c r="W137" s="877">
        <f t="shared" si="26"/>
        <v>0</v>
      </c>
      <c r="X137" s="267">
        <f t="shared" si="23"/>
        <v>0</v>
      </c>
      <c r="Y137" s="267">
        <f t="shared" si="27"/>
        <v>0</v>
      </c>
      <c r="Z137" s="475"/>
      <c r="AA137" s="475"/>
      <c r="AB137" s="453" t="e">
        <f>F137/#REF!*100</f>
        <v>#REF!</v>
      </c>
    </row>
    <row r="138" spans="1:29" ht="42.75" hidden="1" customHeight="1">
      <c r="A138" s="2516">
        <v>722400</v>
      </c>
      <c r="B138" s="2517" t="s">
        <v>126</v>
      </c>
      <c r="C138" s="2518"/>
      <c r="D138" s="2519"/>
      <c r="E138" s="2523"/>
      <c r="F138" s="2521">
        <f t="shared" si="21"/>
        <v>0</v>
      </c>
      <c r="G138" s="2518"/>
      <c r="H138" s="2519"/>
      <c r="I138" s="2523"/>
      <c r="J138" s="2521">
        <f t="shared" si="22"/>
        <v>0</v>
      </c>
      <c r="K138" s="2515" t="e">
        <f t="shared" si="24"/>
        <v>#DIV/0!</v>
      </c>
      <c r="L138" s="880"/>
      <c r="M138" s="880"/>
      <c r="N138" s="880"/>
      <c r="O138" s="880"/>
      <c r="P138" s="880"/>
      <c r="Q138" s="880"/>
      <c r="R138" s="880"/>
      <c r="S138" s="877">
        <f t="shared" si="25"/>
        <v>0</v>
      </c>
      <c r="T138" s="879"/>
      <c r="U138" s="879"/>
      <c r="V138" s="879"/>
      <c r="W138" s="877">
        <f t="shared" si="26"/>
        <v>0</v>
      </c>
      <c r="X138" s="267">
        <f t="shared" si="23"/>
        <v>0</v>
      </c>
      <c r="Y138" s="267">
        <f t="shared" si="27"/>
        <v>0</v>
      </c>
      <c r="Z138" s="475"/>
      <c r="AA138" s="475"/>
      <c r="AB138" s="453" t="e">
        <f>F138/#REF!*100</f>
        <v>#REF!</v>
      </c>
    </row>
    <row r="139" spans="1:29" ht="42.75" hidden="1" customHeight="1">
      <c r="A139" s="2516">
        <v>722400</v>
      </c>
      <c r="B139" s="2517" t="s">
        <v>126</v>
      </c>
      <c r="C139" s="2518"/>
      <c r="D139" s="2519"/>
      <c r="E139" s="2523"/>
      <c r="F139" s="2521">
        <f t="shared" si="21"/>
        <v>0</v>
      </c>
      <c r="G139" s="2518"/>
      <c r="H139" s="2519"/>
      <c r="I139" s="2523"/>
      <c r="J139" s="2521">
        <f t="shared" si="22"/>
        <v>0</v>
      </c>
      <c r="K139" s="2515" t="e">
        <f t="shared" si="24"/>
        <v>#DIV/0!</v>
      </c>
      <c r="L139" s="880"/>
      <c r="M139" s="880"/>
      <c r="N139" s="880"/>
      <c r="O139" s="880"/>
      <c r="P139" s="880"/>
      <c r="Q139" s="880"/>
      <c r="R139" s="880"/>
      <c r="S139" s="877">
        <f t="shared" si="25"/>
        <v>0</v>
      </c>
      <c r="T139" s="879"/>
      <c r="U139" s="879"/>
      <c r="V139" s="879"/>
      <c r="W139" s="877">
        <f t="shared" si="26"/>
        <v>0</v>
      </c>
      <c r="X139" s="267">
        <f t="shared" si="23"/>
        <v>0</v>
      </c>
      <c r="Y139" s="267">
        <f t="shared" si="27"/>
        <v>0</v>
      </c>
      <c r="Z139" s="475"/>
      <c r="AA139" s="475"/>
      <c r="AB139" s="453" t="e">
        <f>F139/#REF!*100</f>
        <v>#REF!</v>
      </c>
    </row>
    <row r="140" spans="1:29" ht="42.75" hidden="1" customHeight="1">
      <c r="A140" s="2516">
        <v>722400</v>
      </c>
      <c r="B140" s="2517" t="s">
        <v>126</v>
      </c>
      <c r="C140" s="2518"/>
      <c r="D140" s="2519"/>
      <c r="E140" s="2520"/>
      <c r="F140" s="2521">
        <f t="shared" si="21"/>
        <v>0</v>
      </c>
      <c r="G140" s="2518"/>
      <c r="H140" s="2519"/>
      <c r="I140" s="2520"/>
      <c r="J140" s="2521">
        <f t="shared" si="22"/>
        <v>0</v>
      </c>
      <c r="K140" s="2515" t="e">
        <f t="shared" si="24"/>
        <v>#DIV/0!</v>
      </c>
      <c r="L140" s="880"/>
      <c r="M140" s="880"/>
      <c r="N140" s="880"/>
      <c r="O140" s="880"/>
      <c r="P140" s="880"/>
      <c r="Q140" s="880"/>
      <c r="R140" s="880"/>
      <c r="S140" s="877">
        <f t="shared" si="25"/>
        <v>0</v>
      </c>
      <c r="T140" s="879"/>
      <c r="U140" s="879"/>
      <c r="V140" s="879"/>
      <c r="W140" s="877">
        <f t="shared" si="26"/>
        <v>0</v>
      </c>
      <c r="X140" s="267">
        <f t="shared" si="23"/>
        <v>0</v>
      </c>
      <c r="Y140" s="267">
        <f t="shared" si="27"/>
        <v>0</v>
      </c>
      <c r="Z140" s="475"/>
      <c r="AA140" s="475"/>
      <c r="AB140" s="453" t="e">
        <f>F140/#REF!*100</f>
        <v>#REF!</v>
      </c>
    </row>
    <row r="141" spans="1:29" ht="42.75" hidden="1" customHeight="1">
      <c r="A141" s="2516">
        <v>722400</v>
      </c>
      <c r="B141" s="2517" t="s">
        <v>126</v>
      </c>
      <c r="C141" s="2518"/>
      <c r="D141" s="2519"/>
      <c r="E141" s="2520"/>
      <c r="F141" s="2521">
        <f t="shared" si="21"/>
        <v>0</v>
      </c>
      <c r="G141" s="2518"/>
      <c r="H141" s="2519"/>
      <c r="I141" s="2520"/>
      <c r="J141" s="2521">
        <f t="shared" si="22"/>
        <v>0</v>
      </c>
      <c r="K141" s="2515" t="e">
        <f t="shared" si="24"/>
        <v>#DIV/0!</v>
      </c>
      <c r="L141" s="880"/>
      <c r="M141" s="880"/>
      <c r="N141" s="880"/>
      <c r="O141" s="880"/>
      <c r="P141" s="880"/>
      <c r="Q141" s="880"/>
      <c r="R141" s="880"/>
      <c r="S141" s="877">
        <f t="shared" si="25"/>
        <v>0</v>
      </c>
      <c r="T141" s="879"/>
      <c r="U141" s="879"/>
      <c r="V141" s="879"/>
      <c r="W141" s="877">
        <f t="shared" si="26"/>
        <v>0</v>
      </c>
      <c r="X141" s="267">
        <f t="shared" si="23"/>
        <v>0</v>
      </c>
      <c r="Y141" s="267">
        <f t="shared" si="27"/>
        <v>0</v>
      </c>
      <c r="Z141" s="475"/>
      <c r="AA141" s="475"/>
      <c r="AB141" s="453" t="e">
        <f>F141/#REF!*100</f>
        <v>#REF!</v>
      </c>
    </row>
    <row r="142" spans="1:29" ht="42.75" hidden="1" customHeight="1">
      <c r="A142" s="2516">
        <v>722400</v>
      </c>
      <c r="B142" s="2517" t="s">
        <v>126</v>
      </c>
      <c r="C142" s="2518"/>
      <c r="D142" s="2519"/>
      <c r="E142" s="2520"/>
      <c r="F142" s="2521">
        <f t="shared" si="21"/>
        <v>0</v>
      </c>
      <c r="G142" s="2518"/>
      <c r="H142" s="2519"/>
      <c r="I142" s="2520"/>
      <c r="J142" s="2521">
        <f t="shared" si="22"/>
        <v>0</v>
      </c>
      <c r="K142" s="2515" t="e">
        <f t="shared" si="24"/>
        <v>#DIV/0!</v>
      </c>
      <c r="L142" s="880"/>
      <c r="M142" s="880"/>
      <c r="N142" s="880"/>
      <c r="O142" s="880"/>
      <c r="P142" s="880"/>
      <c r="Q142" s="880"/>
      <c r="R142" s="880"/>
      <c r="S142" s="877">
        <f t="shared" si="25"/>
        <v>0</v>
      </c>
      <c r="T142" s="879"/>
      <c r="U142" s="879"/>
      <c r="V142" s="879"/>
      <c r="W142" s="877">
        <f t="shared" si="26"/>
        <v>0</v>
      </c>
      <c r="X142" s="267">
        <f t="shared" si="23"/>
        <v>0</v>
      </c>
      <c r="Y142" s="267">
        <f t="shared" si="27"/>
        <v>0</v>
      </c>
      <c r="Z142" s="475"/>
      <c r="AA142" s="475"/>
      <c r="AB142" s="453" t="e">
        <f>F142/#REF!*100</f>
        <v>#REF!</v>
      </c>
    </row>
    <row r="143" spans="1:29" ht="42.75" hidden="1" customHeight="1">
      <c r="A143" s="2516">
        <v>722400</v>
      </c>
      <c r="B143" s="2517" t="s">
        <v>126</v>
      </c>
      <c r="C143" s="2518"/>
      <c r="D143" s="2519"/>
      <c r="E143" s="2520"/>
      <c r="F143" s="2521">
        <f t="shared" si="21"/>
        <v>0</v>
      </c>
      <c r="G143" s="2518"/>
      <c r="H143" s="2519"/>
      <c r="I143" s="2520"/>
      <c r="J143" s="2521">
        <f t="shared" si="22"/>
        <v>0</v>
      </c>
      <c r="K143" s="2515" t="e">
        <f t="shared" si="24"/>
        <v>#DIV/0!</v>
      </c>
      <c r="L143" s="880"/>
      <c r="M143" s="880"/>
      <c r="N143" s="880"/>
      <c r="O143" s="880"/>
      <c r="P143" s="880"/>
      <c r="Q143" s="880"/>
      <c r="R143" s="880"/>
      <c r="S143" s="877">
        <f t="shared" si="25"/>
        <v>0</v>
      </c>
      <c r="T143" s="879"/>
      <c r="U143" s="879"/>
      <c r="V143" s="879"/>
      <c r="W143" s="877">
        <f t="shared" si="26"/>
        <v>0</v>
      </c>
      <c r="X143" s="267">
        <f t="shared" si="23"/>
        <v>0</v>
      </c>
      <c r="Y143" s="267">
        <f t="shared" si="27"/>
        <v>0</v>
      </c>
      <c r="Z143" s="475"/>
      <c r="AA143" s="475"/>
      <c r="AB143" s="453" t="e">
        <f>F143/#REF!*100</f>
        <v>#REF!</v>
      </c>
    </row>
    <row r="144" spans="1:29" ht="42.75" hidden="1" customHeight="1">
      <c r="A144" s="2516">
        <v>722400</v>
      </c>
      <c r="B144" s="2517" t="s">
        <v>126</v>
      </c>
      <c r="C144" s="2518"/>
      <c r="D144" s="2519"/>
      <c r="E144" s="2520"/>
      <c r="F144" s="2521">
        <f t="shared" si="21"/>
        <v>0</v>
      </c>
      <c r="G144" s="2518"/>
      <c r="H144" s="2519"/>
      <c r="I144" s="2520"/>
      <c r="J144" s="2521">
        <f t="shared" si="22"/>
        <v>0</v>
      </c>
      <c r="K144" s="2515" t="e">
        <f t="shared" si="24"/>
        <v>#DIV/0!</v>
      </c>
      <c r="L144" s="880"/>
      <c r="M144" s="880"/>
      <c r="N144" s="880"/>
      <c r="O144" s="880"/>
      <c r="P144" s="880"/>
      <c r="Q144" s="880"/>
      <c r="R144" s="880"/>
      <c r="S144" s="877">
        <f t="shared" si="25"/>
        <v>0</v>
      </c>
      <c r="T144" s="879"/>
      <c r="U144" s="879"/>
      <c r="V144" s="879"/>
      <c r="W144" s="877">
        <f t="shared" si="26"/>
        <v>0</v>
      </c>
      <c r="X144" s="267">
        <f t="shared" si="23"/>
        <v>0</v>
      </c>
      <c r="Y144" s="267">
        <f t="shared" si="27"/>
        <v>0</v>
      </c>
      <c r="Z144" s="475"/>
      <c r="AA144" s="475"/>
      <c r="AB144" s="453" t="e">
        <f>F144/#REF!*100</f>
        <v>#REF!</v>
      </c>
    </row>
    <row r="145" spans="1:29" ht="42.75" hidden="1" customHeight="1">
      <c r="A145" s="2516">
        <v>722400</v>
      </c>
      <c r="B145" s="2517" t="s">
        <v>126</v>
      </c>
      <c r="C145" s="2518"/>
      <c r="D145" s="2519"/>
      <c r="E145" s="2520"/>
      <c r="F145" s="2521">
        <f t="shared" si="21"/>
        <v>0</v>
      </c>
      <c r="G145" s="2518"/>
      <c r="H145" s="2519"/>
      <c r="I145" s="2520"/>
      <c r="J145" s="2521">
        <f t="shared" si="22"/>
        <v>0</v>
      </c>
      <c r="K145" s="2515" t="e">
        <f t="shared" si="24"/>
        <v>#DIV/0!</v>
      </c>
      <c r="L145" s="880"/>
      <c r="M145" s="880"/>
      <c r="N145" s="880"/>
      <c r="O145" s="880"/>
      <c r="P145" s="880"/>
      <c r="Q145" s="880"/>
      <c r="R145" s="880"/>
      <c r="S145" s="877">
        <f t="shared" si="25"/>
        <v>0</v>
      </c>
      <c r="T145" s="879"/>
      <c r="U145" s="879"/>
      <c r="V145" s="879"/>
      <c r="W145" s="877">
        <f t="shared" si="26"/>
        <v>0</v>
      </c>
      <c r="X145" s="267">
        <f t="shared" si="23"/>
        <v>0</v>
      </c>
      <c r="Y145" s="267">
        <f t="shared" si="27"/>
        <v>0</v>
      </c>
      <c r="Z145" s="475"/>
      <c r="AA145" s="475"/>
      <c r="AB145" s="453" t="e">
        <f>F145/#REF!*100</f>
        <v>#REF!</v>
      </c>
    </row>
    <row r="146" spans="1:29" ht="42.75" customHeight="1">
      <c r="A146" s="2516">
        <v>722400</v>
      </c>
      <c r="B146" s="2517" t="s">
        <v>878</v>
      </c>
      <c r="C146" s="2518"/>
      <c r="D146" s="1675">
        <v>5822737.7999999998</v>
      </c>
      <c r="E146" s="2520"/>
      <c r="F146" s="2521">
        <f t="shared" si="21"/>
        <v>5822737.7999999998</v>
      </c>
      <c r="G146" s="2518"/>
      <c r="H146" s="1675"/>
      <c r="I146" s="2520"/>
      <c r="J146" s="2521">
        <f t="shared" si="22"/>
        <v>0</v>
      </c>
      <c r="K146" s="2515">
        <f t="shared" si="24"/>
        <v>0</v>
      </c>
      <c r="L146" s="880"/>
      <c r="M146" s="880"/>
      <c r="N146" s="880"/>
      <c r="O146" s="880"/>
      <c r="P146" s="880"/>
      <c r="Q146" s="880"/>
      <c r="R146" s="880"/>
      <c r="S146" s="877">
        <f t="shared" si="25"/>
        <v>0</v>
      </c>
      <c r="T146" s="879"/>
      <c r="U146" s="879"/>
      <c r="V146" s="879"/>
      <c r="W146" s="877">
        <f t="shared" si="26"/>
        <v>0</v>
      </c>
      <c r="X146" s="267">
        <f t="shared" si="23"/>
        <v>0</v>
      </c>
      <c r="Y146" s="267">
        <f>'[2]PRIH REBALANS'!$AI$176+'[2]PRIH REBALANS'!$AI$179+'[2]PRIH REBALANS'!$AI$182+'[2]PRIH REBALANS'!$AI$185+'[2]PRIH REBALANS'!$AI$189+'[2]PRIH REBALANS'!$AI$191+'[2]PRIH REBALANS'!$AI$192</f>
        <v>5822738.0899999999</v>
      </c>
      <c r="Z146" s="475"/>
      <c r="AA146" s="475"/>
      <c r="AB146" s="453" t="e">
        <f>F146/#REF!*100</f>
        <v>#REF!</v>
      </c>
      <c r="AC146" s="209">
        <f>AC132-C132</f>
        <v>0</v>
      </c>
    </row>
    <row r="147" spans="1:29" ht="42.75" customHeight="1">
      <c r="A147" s="2516" t="s">
        <v>127</v>
      </c>
      <c r="B147" s="2517" t="s">
        <v>128</v>
      </c>
      <c r="C147" s="2544"/>
      <c r="D147" s="2545">
        <v>880000</v>
      </c>
      <c r="E147" s="2520"/>
      <c r="F147" s="2521">
        <f t="shared" si="21"/>
        <v>880000</v>
      </c>
      <c r="G147" s="2544"/>
      <c r="H147" s="2545">
        <v>920000</v>
      </c>
      <c r="I147" s="2520"/>
      <c r="J147" s="2521">
        <f t="shared" si="22"/>
        <v>920000</v>
      </c>
      <c r="K147" s="2515">
        <f t="shared" si="24"/>
        <v>104.54545454545455</v>
      </c>
      <c r="L147" s="880">
        <f>'prihodi posebni dio'!X103+'prihodi posebni dio'!X104</f>
        <v>920000</v>
      </c>
      <c r="M147" s="880"/>
      <c r="N147" s="880"/>
      <c r="O147" s="880"/>
      <c r="P147" s="880"/>
      <c r="Q147" s="880"/>
      <c r="R147" s="880"/>
      <c r="S147" s="877">
        <f t="shared" si="25"/>
        <v>0</v>
      </c>
      <c r="T147" s="879"/>
      <c r="U147" s="879"/>
      <c r="V147" s="879"/>
      <c r="W147" s="877">
        <f t="shared" si="26"/>
        <v>0</v>
      </c>
      <c r="X147" s="267">
        <f t="shared" si="23"/>
        <v>0</v>
      </c>
      <c r="Y147" s="267">
        <f t="shared" si="27"/>
        <v>-880000</v>
      </c>
      <c r="Z147" s="475"/>
      <c r="AA147" s="475"/>
      <c r="AB147" s="453" t="e">
        <f>F147/#REF!*100</f>
        <v>#REF!</v>
      </c>
    </row>
    <row r="148" spans="1:29" ht="42.75" hidden="1" customHeight="1">
      <c r="A148" s="2516" t="s">
        <v>858</v>
      </c>
      <c r="B148" s="2517" t="s">
        <v>128</v>
      </c>
      <c r="C148" s="2518"/>
      <c r="D148" s="2546"/>
      <c r="E148" s="2520"/>
      <c r="F148" s="2521">
        <f t="shared" si="21"/>
        <v>0</v>
      </c>
      <c r="G148" s="2518"/>
      <c r="H148" s="2546"/>
      <c r="I148" s="2520"/>
      <c r="J148" s="2521">
        <f t="shared" si="22"/>
        <v>0</v>
      </c>
      <c r="K148" s="2515" t="e">
        <f t="shared" si="24"/>
        <v>#DIV/0!</v>
      </c>
      <c r="L148" s="880"/>
      <c r="M148" s="880"/>
      <c r="N148" s="880"/>
      <c r="O148" s="880"/>
      <c r="P148" s="880"/>
      <c r="Q148" s="880"/>
      <c r="R148" s="880"/>
      <c r="S148" s="877">
        <f t="shared" si="25"/>
        <v>0</v>
      </c>
      <c r="T148" s="879"/>
      <c r="U148" s="879"/>
      <c r="V148" s="879"/>
      <c r="W148" s="877">
        <f t="shared" si="26"/>
        <v>0</v>
      </c>
      <c r="X148" s="267">
        <f t="shared" si="23"/>
        <v>0</v>
      </c>
      <c r="Y148" s="267">
        <f t="shared" si="27"/>
        <v>0</v>
      </c>
      <c r="Z148" s="475"/>
      <c r="AA148" s="475"/>
      <c r="AB148" s="453" t="e">
        <f>F148/#REF!*100</f>
        <v>#REF!</v>
      </c>
    </row>
    <row r="149" spans="1:29" ht="42.75" hidden="1" customHeight="1">
      <c r="A149" s="2516" t="s">
        <v>859</v>
      </c>
      <c r="B149" s="2517" t="s">
        <v>128</v>
      </c>
      <c r="C149" s="2518"/>
      <c r="D149" s="2546"/>
      <c r="E149" s="2520"/>
      <c r="F149" s="2521">
        <f t="shared" si="21"/>
        <v>0</v>
      </c>
      <c r="G149" s="2518"/>
      <c r="H149" s="2546"/>
      <c r="I149" s="2520"/>
      <c r="J149" s="2521">
        <f t="shared" si="22"/>
        <v>0</v>
      </c>
      <c r="K149" s="2515" t="e">
        <f t="shared" si="24"/>
        <v>#DIV/0!</v>
      </c>
      <c r="L149" s="880"/>
      <c r="M149" s="880"/>
      <c r="N149" s="880"/>
      <c r="O149" s="880"/>
      <c r="P149" s="880"/>
      <c r="Q149" s="880"/>
      <c r="R149" s="880"/>
      <c r="S149" s="877">
        <f t="shared" si="25"/>
        <v>0</v>
      </c>
      <c r="T149" s="879"/>
      <c r="U149" s="879"/>
      <c r="V149" s="879"/>
      <c r="W149" s="877">
        <f t="shared" si="26"/>
        <v>0</v>
      </c>
      <c r="X149" s="267">
        <f t="shared" si="23"/>
        <v>0</v>
      </c>
      <c r="Y149" s="267">
        <f t="shared" si="27"/>
        <v>0</v>
      </c>
      <c r="Z149" s="475"/>
      <c r="AA149" s="475"/>
      <c r="AB149" s="453" t="e">
        <f>F149/#REF!*100</f>
        <v>#REF!</v>
      </c>
    </row>
    <row r="150" spans="1:29" ht="42.75" hidden="1" customHeight="1">
      <c r="A150" s="2516" t="s">
        <v>860</v>
      </c>
      <c r="B150" s="2517" t="s">
        <v>128</v>
      </c>
      <c r="C150" s="2518"/>
      <c r="D150" s="1675"/>
      <c r="E150" s="2520"/>
      <c r="F150" s="2521">
        <f t="shared" si="21"/>
        <v>0</v>
      </c>
      <c r="G150" s="2518"/>
      <c r="H150" s="1675"/>
      <c r="I150" s="2520"/>
      <c r="J150" s="2521">
        <f t="shared" si="22"/>
        <v>0</v>
      </c>
      <c r="K150" s="2515" t="e">
        <f t="shared" si="24"/>
        <v>#DIV/0!</v>
      </c>
      <c r="L150" s="880"/>
      <c r="M150" s="880"/>
      <c r="N150" s="880"/>
      <c r="O150" s="880"/>
      <c r="P150" s="880"/>
      <c r="Q150" s="880"/>
      <c r="R150" s="880"/>
      <c r="S150" s="877">
        <f t="shared" si="25"/>
        <v>0</v>
      </c>
      <c r="T150" s="879"/>
      <c r="U150" s="879"/>
      <c r="V150" s="879"/>
      <c r="W150" s="877">
        <f t="shared" si="26"/>
        <v>0</v>
      </c>
      <c r="X150" s="267">
        <f t="shared" si="23"/>
        <v>0</v>
      </c>
      <c r="Y150" s="267">
        <f t="shared" si="27"/>
        <v>0</v>
      </c>
      <c r="Z150" s="475"/>
      <c r="AA150" s="475"/>
      <c r="AB150" s="453" t="e">
        <f>F150/#REF!*100</f>
        <v>#REF!</v>
      </c>
    </row>
    <row r="151" spans="1:29" ht="42.75" hidden="1" customHeight="1">
      <c r="A151" s="2516" t="s">
        <v>861</v>
      </c>
      <c r="B151" s="2517" t="s">
        <v>128</v>
      </c>
      <c r="C151" s="2518"/>
      <c r="D151" s="1675"/>
      <c r="E151" s="2520"/>
      <c r="F151" s="2521">
        <f t="shared" si="21"/>
        <v>0</v>
      </c>
      <c r="G151" s="2518"/>
      <c r="H151" s="1675"/>
      <c r="I151" s="2520"/>
      <c r="J151" s="2521">
        <f t="shared" si="22"/>
        <v>0</v>
      </c>
      <c r="K151" s="2515" t="e">
        <f t="shared" si="24"/>
        <v>#DIV/0!</v>
      </c>
      <c r="L151" s="880"/>
      <c r="M151" s="880"/>
      <c r="N151" s="880"/>
      <c r="O151" s="880"/>
      <c r="P151" s="880"/>
      <c r="Q151" s="880"/>
      <c r="R151" s="880"/>
      <c r="S151" s="877">
        <f t="shared" si="25"/>
        <v>0</v>
      </c>
      <c r="T151" s="879"/>
      <c r="U151" s="879"/>
      <c r="V151" s="879"/>
      <c r="W151" s="877">
        <f t="shared" si="26"/>
        <v>0</v>
      </c>
      <c r="X151" s="267">
        <f t="shared" si="23"/>
        <v>0</v>
      </c>
      <c r="Y151" s="267">
        <f t="shared" si="27"/>
        <v>0</v>
      </c>
      <c r="Z151" s="475"/>
      <c r="AA151" s="475"/>
      <c r="AB151" s="453" t="e">
        <f>F151/#REF!*100</f>
        <v>#REF!</v>
      </c>
    </row>
    <row r="152" spans="1:29" s="335" customFormat="1" ht="42.75" customHeight="1">
      <c r="A152" s="2547" t="s">
        <v>127</v>
      </c>
      <c r="B152" s="2548" t="s">
        <v>1057</v>
      </c>
      <c r="C152" s="2522"/>
      <c r="D152" s="1675">
        <v>40000</v>
      </c>
      <c r="E152" s="2549"/>
      <c r="F152" s="2521">
        <f t="shared" si="21"/>
        <v>40000</v>
      </c>
      <c r="G152" s="2522"/>
      <c r="H152" s="1675">
        <v>65000</v>
      </c>
      <c r="I152" s="2549"/>
      <c r="J152" s="2521">
        <f t="shared" si="22"/>
        <v>65000</v>
      </c>
      <c r="K152" s="2515">
        <f t="shared" si="24"/>
        <v>162.5</v>
      </c>
      <c r="L152" s="880"/>
      <c r="M152" s="880"/>
      <c r="N152" s="880"/>
      <c r="O152" s="880"/>
      <c r="P152" s="880"/>
      <c r="Q152" s="880"/>
      <c r="R152" s="880"/>
      <c r="S152" s="877">
        <f t="shared" si="25"/>
        <v>0</v>
      </c>
      <c r="T152" s="881"/>
      <c r="U152" s="881"/>
      <c r="V152" s="881"/>
      <c r="W152" s="877">
        <f t="shared" si="26"/>
        <v>0</v>
      </c>
      <c r="X152" s="267">
        <f t="shared" si="23"/>
        <v>0</v>
      </c>
      <c r="Y152" s="267">
        <f t="shared" si="27"/>
        <v>-40000</v>
      </c>
      <c r="Z152" s="476"/>
      <c r="AA152" s="476"/>
      <c r="AB152" s="453" t="e">
        <f>F152/#REF!*100</f>
        <v>#REF!</v>
      </c>
    </row>
    <row r="153" spans="1:29" ht="42.75" customHeight="1">
      <c r="A153" s="2516" t="s">
        <v>127</v>
      </c>
      <c r="B153" s="2517" t="s">
        <v>1218</v>
      </c>
      <c r="C153" s="2518"/>
      <c r="D153" s="1675">
        <v>373096.33</v>
      </c>
      <c r="E153" s="2520"/>
      <c r="F153" s="2521">
        <f t="shared" si="21"/>
        <v>373096.33</v>
      </c>
      <c r="G153" s="2518"/>
      <c r="H153" s="1675"/>
      <c r="I153" s="2520"/>
      <c r="J153" s="2521">
        <f t="shared" si="22"/>
        <v>0</v>
      </c>
      <c r="K153" s="2515">
        <f t="shared" si="24"/>
        <v>0</v>
      </c>
      <c r="L153" s="880"/>
      <c r="M153" s="880"/>
      <c r="N153" s="880"/>
      <c r="O153" s="880"/>
      <c r="P153" s="880"/>
      <c r="Q153" s="880"/>
      <c r="R153" s="880"/>
      <c r="S153" s="877">
        <f t="shared" si="25"/>
        <v>0</v>
      </c>
      <c r="T153" s="879"/>
      <c r="U153" s="879"/>
      <c r="V153" s="879"/>
      <c r="W153" s="877">
        <f t="shared" si="26"/>
        <v>0</v>
      </c>
      <c r="X153" s="267">
        <f t="shared" si="23"/>
        <v>0</v>
      </c>
      <c r="Y153" s="267">
        <f t="shared" ref="Y153:Y198" si="28">X153-F153</f>
        <v>-373096.33</v>
      </c>
      <c r="Z153" s="475"/>
      <c r="AA153" s="475"/>
      <c r="AB153" s="453" t="e">
        <f>F153/#REF!*100</f>
        <v>#REF!</v>
      </c>
    </row>
    <row r="154" spans="1:29" ht="42.75" customHeight="1">
      <c r="A154" s="2531" t="s">
        <v>127</v>
      </c>
      <c r="B154" s="2517" t="s">
        <v>129</v>
      </c>
      <c r="C154" s="2544"/>
      <c r="D154" s="2545">
        <v>1440000</v>
      </c>
      <c r="E154" s="2520"/>
      <c r="F154" s="2521">
        <f t="shared" si="21"/>
        <v>1440000</v>
      </c>
      <c r="G154" s="2544"/>
      <c r="H154" s="2535">
        <v>1447000</v>
      </c>
      <c r="I154" s="2520"/>
      <c r="J154" s="2521">
        <f t="shared" si="22"/>
        <v>1447000</v>
      </c>
      <c r="K154" s="2515">
        <f t="shared" si="24"/>
        <v>100.48611111111111</v>
      </c>
      <c r="L154" s="880"/>
      <c r="M154" s="880"/>
      <c r="N154" s="880"/>
      <c r="O154" s="880"/>
      <c r="P154" s="880"/>
      <c r="Q154" s="880"/>
      <c r="R154" s="880"/>
      <c r="S154" s="877">
        <f t="shared" si="25"/>
        <v>0</v>
      </c>
      <c r="T154" s="879"/>
      <c r="U154" s="879"/>
      <c r="V154" s="879"/>
      <c r="W154" s="877">
        <f t="shared" si="26"/>
        <v>0</v>
      </c>
      <c r="X154" s="267">
        <f t="shared" si="23"/>
        <v>0</v>
      </c>
      <c r="Y154" s="267">
        <f t="shared" si="28"/>
        <v>-1440000</v>
      </c>
      <c r="Z154" s="475"/>
      <c r="AA154" s="475"/>
      <c r="AB154" s="453" t="e">
        <f>F154/#REF!*100</f>
        <v>#REF!</v>
      </c>
    </row>
    <row r="155" spans="1:29" ht="42.75" hidden="1" customHeight="1">
      <c r="A155" s="2531" t="s">
        <v>858</v>
      </c>
      <c r="B155" s="2517" t="s">
        <v>129</v>
      </c>
      <c r="C155" s="2518"/>
      <c r="D155" s="1675"/>
      <c r="E155" s="2520"/>
      <c r="F155" s="2521">
        <f t="shared" si="21"/>
        <v>0</v>
      </c>
      <c r="G155" s="2518"/>
      <c r="H155" s="1675"/>
      <c r="I155" s="2520"/>
      <c r="J155" s="2521">
        <f t="shared" si="22"/>
        <v>0</v>
      </c>
      <c r="K155" s="2515" t="e">
        <f t="shared" si="24"/>
        <v>#DIV/0!</v>
      </c>
      <c r="L155" s="880"/>
      <c r="M155" s="880"/>
      <c r="N155" s="880"/>
      <c r="O155" s="880"/>
      <c r="P155" s="880"/>
      <c r="Q155" s="880"/>
      <c r="R155" s="880"/>
      <c r="S155" s="877">
        <f t="shared" si="25"/>
        <v>0</v>
      </c>
      <c r="T155" s="878"/>
      <c r="U155" s="878"/>
      <c r="V155" s="878"/>
      <c r="W155" s="877">
        <f t="shared" si="26"/>
        <v>0</v>
      </c>
      <c r="X155" s="267">
        <f t="shared" si="23"/>
        <v>0</v>
      </c>
      <c r="Y155" s="267">
        <f t="shared" si="28"/>
        <v>0</v>
      </c>
      <c r="Z155" s="474"/>
      <c r="AA155" s="474"/>
      <c r="AB155" s="453" t="e">
        <f>F155/#REF!*100</f>
        <v>#REF!</v>
      </c>
    </row>
    <row r="156" spans="1:29" ht="42.75" hidden="1" customHeight="1">
      <c r="A156" s="2531" t="s">
        <v>859</v>
      </c>
      <c r="B156" s="2517" t="s">
        <v>129</v>
      </c>
      <c r="C156" s="2518"/>
      <c r="D156" s="1675"/>
      <c r="E156" s="2520"/>
      <c r="F156" s="2521">
        <f t="shared" si="21"/>
        <v>0</v>
      </c>
      <c r="G156" s="2518"/>
      <c r="H156" s="1675"/>
      <c r="I156" s="2520"/>
      <c r="J156" s="2521">
        <f t="shared" si="22"/>
        <v>0</v>
      </c>
      <c r="K156" s="2515" t="e">
        <f t="shared" si="24"/>
        <v>#DIV/0!</v>
      </c>
      <c r="L156" s="880"/>
      <c r="M156" s="880"/>
      <c r="N156" s="880"/>
      <c r="O156" s="880"/>
      <c r="P156" s="880"/>
      <c r="Q156" s="880"/>
      <c r="R156" s="880"/>
      <c r="S156" s="877">
        <f t="shared" si="25"/>
        <v>0</v>
      </c>
      <c r="T156" s="878"/>
      <c r="U156" s="878"/>
      <c r="V156" s="878"/>
      <c r="W156" s="877">
        <f t="shared" si="26"/>
        <v>0</v>
      </c>
      <c r="X156" s="267">
        <f t="shared" si="23"/>
        <v>0</v>
      </c>
      <c r="Y156" s="267">
        <f t="shared" si="28"/>
        <v>0</v>
      </c>
      <c r="Z156" s="474"/>
      <c r="AA156" s="474"/>
      <c r="AB156" s="453" t="e">
        <f>F156/#REF!*100</f>
        <v>#REF!</v>
      </c>
    </row>
    <row r="157" spans="1:29" ht="42.75" hidden="1" customHeight="1">
      <c r="A157" s="2531" t="s">
        <v>860</v>
      </c>
      <c r="B157" s="2517" t="s">
        <v>129</v>
      </c>
      <c r="C157" s="2518"/>
      <c r="D157" s="1675"/>
      <c r="E157" s="2520"/>
      <c r="F157" s="2521">
        <f t="shared" si="21"/>
        <v>0</v>
      </c>
      <c r="G157" s="2518"/>
      <c r="H157" s="1675"/>
      <c r="I157" s="2520"/>
      <c r="J157" s="2521">
        <f t="shared" si="22"/>
        <v>0</v>
      </c>
      <c r="K157" s="2515" t="e">
        <f t="shared" si="24"/>
        <v>#DIV/0!</v>
      </c>
      <c r="L157" s="880"/>
      <c r="M157" s="880"/>
      <c r="N157" s="880"/>
      <c r="O157" s="880"/>
      <c r="P157" s="880"/>
      <c r="Q157" s="880"/>
      <c r="R157" s="880"/>
      <c r="S157" s="877">
        <f t="shared" si="25"/>
        <v>0</v>
      </c>
      <c r="T157" s="878"/>
      <c r="U157" s="878"/>
      <c r="V157" s="878"/>
      <c r="W157" s="877">
        <f t="shared" si="26"/>
        <v>0</v>
      </c>
      <c r="X157" s="267">
        <f t="shared" si="23"/>
        <v>0</v>
      </c>
      <c r="Y157" s="267">
        <f t="shared" si="28"/>
        <v>0</v>
      </c>
      <c r="Z157" s="474"/>
      <c r="AA157" s="474"/>
      <c r="AB157" s="453" t="e">
        <f>F157/#REF!*100</f>
        <v>#REF!</v>
      </c>
    </row>
    <row r="158" spans="1:29" ht="42.75" hidden="1" customHeight="1">
      <c r="A158" s="2531" t="s">
        <v>861</v>
      </c>
      <c r="B158" s="2517" t="s">
        <v>129</v>
      </c>
      <c r="C158" s="2518"/>
      <c r="D158" s="1675"/>
      <c r="E158" s="2520"/>
      <c r="F158" s="2521">
        <f t="shared" si="21"/>
        <v>0</v>
      </c>
      <c r="G158" s="2518"/>
      <c r="H158" s="1675"/>
      <c r="I158" s="2520"/>
      <c r="J158" s="2521">
        <f t="shared" si="22"/>
        <v>0</v>
      </c>
      <c r="K158" s="2515" t="e">
        <f t="shared" si="24"/>
        <v>#DIV/0!</v>
      </c>
      <c r="L158" s="880"/>
      <c r="M158" s="880"/>
      <c r="N158" s="880"/>
      <c r="O158" s="880"/>
      <c r="P158" s="880"/>
      <c r="Q158" s="880"/>
      <c r="R158" s="880"/>
      <c r="S158" s="877">
        <f t="shared" si="25"/>
        <v>0</v>
      </c>
      <c r="T158" s="878"/>
      <c r="U158" s="878"/>
      <c r="V158" s="878"/>
      <c r="W158" s="877">
        <f t="shared" si="26"/>
        <v>0</v>
      </c>
      <c r="X158" s="267">
        <f t="shared" si="23"/>
        <v>0</v>
      </c>
      <c r="Y158" s="267">
        <f t="shared" si="28"/>
        <v>0</v>
      </c>
      <c r="Z158" s="474"/>
      <c r="AA158" s="474"/>
      <c r="AB158" s="453" t="e">
        <f>F158/#REF!*100</f>
        <v>#REF!</v>
      </c>
    </row>
    <row r="159" spans="1:29" ht="42.75" hidden="1" customHeight="1">
      <c r="A159" s="2531" t="s">
        <v>862</v>
      </c>
      <c r="B159" s="2517" t="s">
        <v>129</v>
      </c>
      <c r="C159" s="2518"/>
      <c r="D159" s="1675"/>
      <c r="E159" s="2520"/>
      <c r="F159" s="2521">
        <f t="shared" si="21"/>
        <v>0</v>
      </c>
      <c r="G159" s="2518"/>
      <c r="H159" s="1675"/>
      <c r="I159" s="2520"/>
      <c r="J159" s="2521">
        <f t="shared" si="22"/>
        <v>0</v>
      </c>
      <c r="K159" s="2515" t="e">
        <f t="shared" si="24"/>
        <v>#DIV/0!</v>
      </c>
      <c r="L159" s="880"/>
      <c r="M159" s="880"/>
      <c r="N159" s="880"/>
      <c r="O159" s="880"/>
      <c r="P159" s="880"/>
      <c r="Q159" s="880"/>
      <c r="R159" s="880"/>
      <c r="S159" s="877">
        <f t="shared" si="25"/>
        <v>0</v>
      </c>
      <c r="T159" s="878"/>
      <c r="U159" s="878"/>
      <c r="V159" s="878"/>
      <c r="W159" s="877">
        <f t="shared" si="26"/>
        <v>0</v>
      </c>
      <c r="X159" s="267">
        <f t="shared" si="23"/>
        <v>0</v>
      </c>
      <c r="Y159" s="267">
        <f t="shared" si="28"/>
        <v>0</v>
      </c>
      <c r="Z159" s="474"/>
      <c r="AA159" s="474"/>
      <c r="AB159" s="453" t="e">
        <f>F159/#REF!*100</f>
        <v>#REF!</v>
      </c>
    </row>
    <row r="160" spans="1:29" ht="42.75" customHeight="1">
      <c r="A160" s="2531" t="s">
        <v>127</v>
      </c>
      <c r="B160" s="2517" t="s">
        <v>879</v>
      </c>
      <c r="C160" s="2518"/>
      <c r="D160" s="1675">
        <v>4012844</v>
      </c>
      <c r="E160" s="2520"/>
      <c r="F160" s="2521">
        <f t="shared" si="21"/>
        <v>4012844</v>
      </c>
      <c r="G160" s="2518"/>
      <c r="H160" s="1675"/>
      <c r="I160" s="2520"/>
      <c r="J160" s="2521">
        <f t="shared" si="22"/>
        <v>0</v>
      </c>
      <c r="K160" s="2515">
        <f t="shared" si="24"/>
        <v>0</v>
      </c>
      <c r="L160" s="880"/>
      <c r="M160" s="880"/>
      <c r="N160" s="880"/>
      <c r="O160" s="880"/>
      <c r="P160" s="880"/>
      <c r="Q160" s="880"/>
      <c r="R160" s="880"/>
      <c r="S160" s="877">
        <f t="shared" si="25"/>
        <v>0</v>
      </c>
      <c r="T160" s="879"/>
      <c r="U160" s="879"/>
      <c r="V160" s="879"/>
      <c r="W160" s="877">
        <f t="shared" si="26"/>
        <v>0</v>
      </c>
      <c r="X160" s="267">
        <f t="shared" si="23"/>
        <v>0</v>
      </c>
      <c r="Y160" s="267">
        <f t="shared" si="28"/>
        <v>-4012844</v>
      </c>
      <c r="Z160" s="475"/>
      <c r="AA160" s="475"/>
      <c r="AB160" s="453" t="e">
        <f>F160/#REF!*100</f>
        <v>#REF!</v>
      </c>
    </row>
    <row r="161" spans="1:29" ht="42.75" customHeight="1">
      <c r="A161" s="2531">
        <v>722500</v>
      </c>
      <c r="B161" s="2517" t="s">
        <v>863</v>
      </c>
      <c r="C161" s="2544">
        <v>10010</v>
      </c>
      <c r="D161" s="2545"/>
      <c r="E161" s="2520"/>
      <c r="F161" s="2521">
        <f t="shared" si="21"/>
        <v>10010</v>
      </c>
      <c r="G161" s="2544">
        <v>10020</v>
      </c>
      <c r="H161" s="2545"/>
      <c r="I161" s="2520"/>
      <c r="J161" s="2521">
        <f t="shared" si="22"/>
        <v>10020</v>
      </c>
      <c r="K161" s="2515">
        <f t="shared" si="24"/>
        <v>100.09990009990011</v>
      </c>
      <c r="L161" s="880"/>
      <c r="M161" s="880"/>
      <c r="N161" s="880"/>
      <c r="O161" s="880"/>
      <c r="P161" s="880"/>
      <c r="Q161" s="880"/>
      <c r="R161" s="880"/>
      <c r="S161" s="877">
        <f t="shared" si="25"/>
        <v>0</v>
      </c>
      <c r="T161" s="879"/>
      <c r="U161" s="879"/>
      <c r="V161" s="879"/>
      <c r="W161" s="877">
        <f t="shared" si="26"/>
        <v>0</v>
      </c>
      <c r="X161" s="267">
        <f t="shared" si="23"/>
        <v>0</v>
      </c>
      <c r="Y161" s="267">
        <f t="shared" si="28"/>
        <v>-10010</v>
      </c>
      <c r="Z161" s="475"/>
      <c r="AA161" s="475"/>
      <c r="AB161" s="453" t="e">
        <f>F161/#REF!*100</f>
        <v>#REF!</v>
      </c>
      <c r="AC161" s="209">
        <f>[6]Sheet1!$S$92</f>
        <v>10009.6</v>
      </c>
    </row>
    <row r="162" spans="1:29" ht="42.75" hidden="1" customHeight="1">
      <c r="A162" s="2550">
        <v>722515</v>
      </c>
      <c r="B162" s="2551" t="s">
        <v>130</v>
      </c>
      <c r="C162" s="2518"/>
      <c r="D162" s="1675"/>
      <c r="E162" s="2520"/>
      <c r="F162" s="2521">
        <f t="shared" si="21"/>
        <v>0</v>
      </c>
      <c r="G162" s="2518"/>
      <c r="H162" s="1675"/>
      <c r="I162" s="2520"/>
      <c r="J162" s="2521">
        <f t="shared" si="22"/>
        <v>0</v>
      </c>
      <c r="K162" s="2515" t="e">
        <f t="shared" si="24"/>
        <v>#DIV/0!</v>
      </c>
      <c r="L162" s="880"/>
      <c r="M162" s="880"/>
      <c r="N162" s="880"/>
      <c r="O162" s="880"/>
      <c r="P162" s="880"/>
      <c r="Q162" s="880"/>
      <c r="R162" s="880"/>
      <c r="S162" s="877">
        <f t="shared" si="25"/>
        <v>0</v>
      </c>
      <c r="T162" s="878"/>
      <c r="U162" s="878"/>
      <c r="V162" s="878"/>
      <c r="W162" s="877">
        <f t="shared" si="26"/>
        <v>0</v>
      </c>
      <c r="X162" s="267">
        <f t="shared" si="23"/>
        <v>0</v>
      </c>
      <c r="Y162" s="267">
        <f t="shared" si="28"/>
        <v>0</v>
      </c>
      <c r="Z162" s="474"/>
      <c r="AA162" s="474"/>
      <c r="AB162" s="453" t="e">
        <f>F162/#REF!*100</f>
        <v>#REF!</v>
      </c>
    </row>
    <row r="163" spans="1:29" ht="42.75" hidden="1" customHeight="1">
      <c r="A163" s="2531">
        <v>722516</v>
      </c>
      <c r="B163" s="2517" t="s">
        <v>131</v>
      </c>
      <c r="C163" s="2518"/>
      <c r="D163" s="1675"/>
      <c r="E163" s="2520"/>
      <c r="F163" s="2521">
        <f t="shared" si="21"/>
        <v>0</v>
      </c>
      <c r="G163" s="2518"/>
      <c r="H163" s="1675"/>
      <c r="I163" s="2520"/>
      <c r="J163" s="2521">
        <f t="shared" si="22"/>
        <v>0</v>
      </c>
      <c r="K163" s="2515" t="e">
        <f t="shared" si="24"/>
        <v>#DIV/0!</v>
      </c>
      <c r="L163" s="880"/>
      <c r="M163" s="880"/>
      <c r="N163" s="880"/>
      <c r="O163" s="880"/>
      <c r="P163" s="880"/>
      <c r="Q163" s="880"/>
      <c r="R163" s="880"/>
      <c r="S163" s="877">
        <f t="shared" si="25"/>
        <v>0</v>
      </c>
      <c r="T163" s="878"/>
      <c r="U163" s="878"/>
      <c r="V163" s="878"/>
      <c r="W163" s="877">
        <f t="shared" si="26"/>
        <v>0</v>
      </c>
      <c r="X163" s="267">
        <f t="shared" si="23"/>
        <v>0</v>
      </c>
      <c r="Y163" s="267">
        <f t="shared" si="28"/>
        <v>0</v>
      </c>
      <c r="Z163" s="474"/>
      <c r="AA163" s="474"/>
      <c r="AB163" s="453" t="e">
        <f>F163/#REF!*100</f>
        <v>#REF!</v>
      </c>
    </row>
    <row r="164" spans="1:29" ht="42.75" customHeight="1">
      <c r="A164" s="2516">
        <v>722600</v>
      </c>
      <c r="B164" s="2517" t="s">
        <v>132</v>
      </c>
      <c r="C164" s="2544">
        <v>341350</v>
      </c>
      <c r="D164" s="2545"/>
      <c r="E164" s="2520"/>
      <c r="F164" s="2521">
        <f t="shared" si="21"/>
        <v>341350</v>
      </c>
      <c r="G164" s="2544">
        <v>336300</v>
      </c>
      <c r="H164" s="2545"/>
      <c r="I164" s="2520"/>
      <c r="J164" s="2521">
        <f t="shared" si="22"/>
        <v>336300</v>
      </c>
      <c r="K164" s="2515">
        <f t="shared" si="24"/>
        <v>98.520580049802248</v>
      </c>
      <c r="L164" s="880"/>
      <c r="M164" s="880"/>
      <c r="N164" s="880"/>
      <c r="O164" s="880"/>
      <c r="P164" s="880"/>
      <c r="Q164" s="880"/>
      <c r="R164" s="880"/>
      <c r="S164" s="877">
        <f t="shared" si="25"/>
        <v>0</v>
      </c>
      <c r="T164" s="879"/>
      <c r="U164" s="879"/>
      <c r="V164" s="879"/>
      <c r="W164" s="877">
        <f t="shared" si="26"/>
        <v>0</v>
      </c>
      <c r="X164" s="267">
        <f>'prihodi posebni dio'!S116</f>
        <v>341350</v>
      </c>
      <c r="Y164" s="267">
        <f t="shared" si="28"/>
        <v>0</v>
      </c>
      <c r="Z164" s="475"/>
      <c r="AA164" s="475"/>
      <c r="AB164" s="453" t="e">
        <f>F164/#REF!*100</f>
        <v>#REF!</v>
      </c>
      <c r="AC164" s="209">
        <f>[6]Sheet1!$S$95</f>
        <v>335350</v>
      </c>
    </row>
    <row r="165" spans="1:29" ht="42.75" hidden="1" customHeight="1">
      <c r="A165" s="2516">
        <v>722611</v>
      </c>
      <c r="B165" s="2517" t="s">
        <v>133</v>
      </c>
      <c r="C165" s="2518"/>
      <c r="D165" s="1675"/>
      <c r="E165" s="2520"/>
      <c r="F165" s="2521">
        <f t="shared" si="21"/>
        <v>0</v>
      </c>
      <c r="G165" s="2518"/>
      <c r="H165" s="1675"/>
      <c r="I165" s="2520"/>
      <c r="J165" s="2521">
        <f t="shared" si="22"/>
        <v>0</v>
      </c>
      <c r="K165" s="2515" t="e">
        <f t="shared" si="24"/>
        <v>#DIV/0!</v>
      </c>
      <c r="L165" s="880"/>
      <c r="M165" s="880"/>
      <c r="N165" s="880"/>
      <c r="O165" s="880"/>
      <c r="P165" s="880"/>
      <c r="Q165" s="880"/>
      <c r="R165" s="880"/>
      <c r="S165" s="877">
        <f t="shared" si="25"/>
        <v>0</v>
      </c>
      <c r="T165" s="879"/>
      <c r="U165" s="879"/>
      <c r="V165" s="879"/>
      <c r="W165" s="877">
        <f t="shared" si="26"/>
        <v>0</v>
      </c>
      <c r="X165" s="267">
        <f t="shared" si="23"/>
        <v>0</v>
      </c>
      <c r="Y165" s="267">
        <f t="shared" si="28"/>
        <v>0</v>
      </c>
      <c r="Z165" s="475"/>
      <c r="AA165" s="475"/>
      <c r="AB165" s="453" t="e">
        <f>F165/#REF!*100</f>
        <v>#REF!</v>
      </c>
    </row>
    <row r="166" spans="1:29" ht="42.75" hidden="1" customHeight="1">
      <c r="A166" s="2516">
        <v>722631</v>
      </c>
      <c r="B166" s="2517" t="s">
        <v>134</v>
      </c>
      <c r="C166" s="2518"/>
      <c r="D166" s="1675"/>
      <c r="E166" s="2520"/>
      <c r="F166" s="2521">
        <f t="shared" si="21"/>
        <v>0</v>
      </c>
      <c r="G166" s="2518"/>
      <c r="H166" s="1675"/>
      <c r="I166" s="2520"/>
      <c r="J166" s="2521">
        <f t="shared" si="22"/>
        <v>0</v>
      </c>
      <c r="K166" s="2515" t="e">
        <f t="shared" si="24"/>
        <v>#DIV/0!</v>
      </c>
      <c r="L166" s="880"/>
      <c r="M166" s="880"/>
      <c r="N166" s="880"/>
      <c r="O166" s="880"/>
      <c r="P166" s="880"/>
      <c r="Q166" s="880"/>
      <c r="R166" s="880"/>
      <c r="S166" s="877">
        <f t="shared" si="25"/>
        <v>0</v>
      </c>
      <c r="T166" s="879"/>
      <c r="U166" s="879"/>
      <c r="V166" s="879"/>
      <c r="W166" s="877">
        <f t="shared" si="26"/>
        <v>0</v>
      </c>
      <c r="X166" s="267">
        <f t="shared" si="23"/>
        <v>0</v>
      </c>
      <c r="Y166" s="267">
        <f t="shared" si="28"/>
        <v>0</v>
      </c>
      <c r="Z166" s="475"/>
      <c r="AA166" s="475"/>
      <c r="AB166" s="453" t="e">
        <f>F166/#REF!*100</f>
        <v>#REF!</v>
      </c>
    </row>
    <row r="167" spans="1:29" ht="42.75" hidden="1" customHeight="1">
      <c r="A167" s="2516">
        <v>722631</v>
      </c>
      <c r="B167" s="2517" t="s">
        <v>135</v>
      </c>
      <c r="C167" s="2518"/>
      <c r="D167" s="1675"/>
      <c r="E167" s="2520"/>
      <c r="F167" s="2521">
        <f t="shared" si="21"/>
        <v>0</v>
      </c>
      <c r="G167" s="2518"/>
      <c r="H167" s="1675"/>
      <c r="I167" s="2520"/>
      <c r="J167" s="2521">
        <f t="shared" si="22"/>
        <v>0</v>
      </c>
      <c r="K167" s="2515" t="e">
        <f t="shared" si="24"/>
        <v>#DIV/0!</v>
      </c>
      <c r="L167" s="880"/>
      <c r="M167" s="880"/>
      <c r="N167" s="880"/>
      <c r="O167" s="880"/>
      <c r="P167" s="880"/>
      <c r="Q167" s="880"/>
      <c r="R167" s="880"/>
      <c r="S167" s="877">
        <f t="shared" si="25"/>
        <v>0</v>
      </c>
      <c r="T167" s="879"/>
      <c r="U167" s="879"/>
      <c r="V167" s="879"/>
      <c r="W167" s="877">
        <f t="shared" si="26"/>
        <v>0</v>
      </c>
      <c r="X167" s="267">
        <f t="shared" si="23"/>
        <v>0</v>
      </c>
      <c r="Y167" s="267">
        <f t="shared" si="28"/>
        <v>0</v>
      </c>
      <c r="Z167" s="475"/>
      <c r="AA167" s="475"/>
      <c r="AB167" s="453" t="e">
        <f>F167/#REF!*100</f>
        <v>#REF!</v>
      </c>
    </row>
    <row r="168" spans="1:29" ht="42.75" hidden="1" customHeight="1">
      <c r="A168" s="2516">
        <v>722631</v>
      </c>
      <c r="B168" s="2517" t="s">
        <v>136</v>
      </c>
      <c r="C168" s="2518"/>
      <c r="D168" s="1675"/>
      <c r="E168" s="2520"/>
      <c r="F168" s="2521">
        <f t="shared" si="21"/>
        <v>0</v>
      </c>
      <c r="G168" s="2518"/>
      <c r="H168" s="1675"/>
      <c r="I168" s="2520"/>
      <c r="J168" s="2521">
        <f t="shared" si="22"/>
        <v>0</v>
      </c>
      <c r="K168" s="2515" t="e">
        <f t="shared" si="24"/>
        <v>#DIV/0!</v>
      </c>
      <c r="L168" s="880"/>
      <c r="M168" s="880"/>
      <c r="N168" s="880"/>
      <c r="O168" s="880"/>
      <c r="P168" s="880"/>
      <c r="Q168" s="880"/>
      <c r="R168" s="880"/>
      <c r="S168" s="877">
        <f t="shared" si="25"/>
        <v>0</v>
      </c>
      <c r="T168" s="879"/>
      <c r="U168" s="879"/>
      <c r="V168" s="879"/>
      <c r="W168" s="877">
        <f t="shared" si="26"/>
        <v>0</v>
      </c>
      <c r="X168" s="267">
        <f t="shared" si="23"/>
        <v>0</v>
      </c>
      <c r="Y168" s="267">
        <f t="shared" si="28"/>
        <v>0</v>
      </c>
      <c r="Z168" s="475"/>
      <c r="AA168" s="475"/>
      <c r="AB168" s="453" t="e">
        <f>F168/#REF!*100</f>
        <v>#REF!</v>
      </c>
    </row>
    <row r="169" spans="1:29" ht="42.75" hidden="1" customHeight="1">
      <c r="A169" s="2516">
        <v>722631</v>
      </c>
      <c r="B169" s="2517" t="s">
        <v>137</v>
      </c>
      <c r="C169" s="2518"/>
      <c r="D169" s="1675"/>
      <c r="E169" s="2520"/>
      <c r="F169" s="2521">
        <f t="shared" si="21"/>
        <v>0</v>
      </c>
      <c r="G169" s="2518"/>
      <c r="H169" s="1675"/>
      <c r="I169" s="2520"/>
      <c r="J169" s="2521">
        <f t="shared" si="22"/>
        <v>0</v>
      </c>
      <c r="K169" s="2515" t="e">
        <f t="shared" si="24"/>
        <v>#DIV/0!</v>
      </c>
      <c r="L169" s="880"/>
      <c r="M169" s="880"/>
      <c r="N169" s="880"/>
      <c r="O169" s="880"/>
      <c r="P169" s="880"/>
      <c r="Q169" s="880"/>
      <c r="R169" s="880"/>
      <c r="S169" s="877">
        <f t="shared" si="25"/>
        <v>0</v>
      </c>
      <c r="T169" s="879"/>
      <c r="U169" s="879"/>
      <c r="V169" s="879"/>
      <c r="W169" s="877">
        <f t="shared" si="26"/>
        <v>0</v>
      </c>
      <c r="X169" s="267">
        <f t="shared" si="23"/>
        <v>0</v>
      </c>
      <c r="Y169" s="267">
        <f t="shared" si="28"/>
        <v>0</v>
      </c>
      <c r="Z169" s="475"/>
      <c r="AA169" s="475"/>
      <c r="AB169" s="453" t="e">
        <f>F169/#REF!*100</f>
        <v>#REF!</v>
      </c>
    </row>
    <row r="170" spans="1:29" ht="42.75" customHeight="1">
      <c r="A170" s="2516">
        <v>722700</v>
      </c>
      <c r="B170" s="2517" t="s">
        <v>138</v>
      </c>
      <c r="C170" s="2544">
        <v>4720000</v>
      </c>
      <c r="D170" s="2545"/>
      <c r="E170" s="2520"/>
      <c r="F170" s="2521">
        <f t="shared" si="21"/>
        <v>4720000</v>
      </c>
      <c r="G170" s="2544">
        <v>225000</v>
      </c>
      <c r="H170" s="2545"/>
      <c r="I170" s="2520"/>
      <c r="J170" s="2521">
        <f t="shared" si="22"/>
        <v>225000</v>
      </c>
      <c r="K170" s="2515">
        <f t="shared" si="24"/>
        <v>4.7669491525423728</v>
      </c>
      <c r="L170" s="880"/>
      <c r="M170" s="880"/>
      <c r="N170" s="880"/>
      <c r="O170" s="880"/>
      <c r="P170" s="880"/>
      <c r="Q170" s="880"/>
      <c r="R170" s="880"/>
      <c r="S170" s="877">
        <f t="shared" si="25"/>
        <v>0</v>
      </c>
      <c r="T170" s="879"/>
      <c r="U170" s="879"/>
      <c r="V170" s="879"/>
      <c r="W170" s="877">
        <f t="shared" si="26"/>
        <v>0</v>
      </c>
      <c r="X170" s="267">
        <f t="shared" si="23"/>
        <v>0</v>
      </c>
      <c r="Y170" s="267">
        <f t="shared" si="28"/>
        <v>-4720000</v>
      </c>
      <c r="Z170" s="475"/>
      <c r="AA170" s="475"/>
      <c r="AB170" s="453" t="e">
        <f>F170/#REF!*100</f>
        <v>#REF!</v>
      </c>
      <c r="AC170" s="209">
        <f>[6]Sheet1!$S$102</f>
        <v>4720000</v>
      </c>
    </row>
    <row r="171" spans="1:29" ht="42.75" customHeight="1">
      <c r="A171" s="2516">
        <v>722701</v>
      </c>
      <c r="B171" s="2517" t="s">
        <v>138</v>
      </c>
      <c r="C171" s="2518"/>
      <c r="D171" s="2545">
        <v>204247</v>
      </c>
      <c r="E171" s="2520"/>
      <c r="F171" s="2521">
        <f t="shared" si="21"/>
        <v>204247</v>
      </c>
      <c r="G171" s="2518"/>
      <c r="H171" s="2545"/>
      <c r="I171" s="2520"/>
      <c r="J171" s="2521">
        <f t="shared" si="22"/>
        <v>0</v>
      </c>
      <c r="K171" s="2515">
        <f t="shared" si="24"/>
        <v>0</v>
      </c>
      <c r="L171" s="880"/>
      <c r="M171" s="880"/>
      <c r="N171" s="880"/>
      <c r="O171" s="880"/>
      <c r="P171" s="880"/>
      <c r="Q171" s="880"/>
      <c r="R171" s="880"/>
      <c r="S171" s="877">
        <f t="shared" si="25"/>
        <v>0</v>
      </c>
      <c r="T171" s="878"/>
      <c r="U171" s="878"/>
      <c r="V171" s="878"/>
      <c r="W171" s="877">
        <f t="shared" si="26"/>
        <v>0</v>
      </c>
      <c r="X171" s="267">
        <f t="shared" si="23"/>
        <v>0</v>
      </c>
      <c r="Y171" s="267">
        <f t="shared" si="28"/>
        <v>-204247</v>
      </c>
      <c r="Z171" s="474"/>
      <c r="AA171" s="474"/>
      <c r="AB171" s="453" t="e">
        <f>F171/#REF!*100</f>
        <v>#REF!</v>
      </c>
    </row>
    <row r="172" spans="1:29" ht="42.75" hidden="1" customHeight="1">
      <c r="A172" s="2516">
        <v>722702</v>
      </c>
      <c r="B172" s="2517" t="s">
        <v>138</v>
      </c>
      <c r="C172" s="2518"/>
      <c r="D172" s="2552"/>
      <c r="E172" s="2520"/>
      <c r="F172" s="2521">
        <f t="shared" si="21"/>
        <v>0</v>
      </c>
      <c r="G172" s="2518"/>
      <c r="H172" s="2552"/>
      <c r="I172" s="2520"/>
      <c r="J172" s="2521">
        <f t="shared" si="22"/>
        <v>0</v>
      </c>
      <c r="K172" s="2515" t="e">
        <f t="shared" si="24"/>
        <v>#DIV/0!</v>
      </c>
      <c r="L172" s="880"/>
      <c r="M172" s="880"/>
      <c r="N172" s="880"/>
      <c r="O172" s="880"/>
      <c r="P172" s="880"/>
      <c r="Q172" s="880"/>
      <c r="R172" s="880"/>
      <c r="S172" s="877">
        <f t="shared" si="25"/>
        <v>0</v>
      </c>
      <c r="T172" s="878"/>
      <c r="U172" s="878"/>
      <c r="V172" s="878"/>
      <c r="W172" s="877">
        <f t="shared" si="26"/>
        <v>0</v>
      </c>
      <c r="X172" s="267">
        <f t="shared" si="23"/>
        <v>0</v>
      </c>
      <c r="Y172" s="267">
        <f t="shared" si="28"/>
        <v>0</v>
      </c>
      <c r="Z172" s="474"/>
      <c r="AA172" s="474"/>
      <c r="AB172" s="453" t="e">
        <f>F172/#REF!*100</f>
        <v>#REF!</v>
      </c>
    </row>
    <row r="173" spans="1:29" ht="42.75" hidden="1" customHeight="1">
      <c r="A173" s="2516">
        <v>722703</v>
      </c>
      <c r="B173" s="2517" t="s">
        <v>138</v>
      </c>
      <c r="C173" s="2518"/>
      <c r="D173" s="2552"/>
      <c r="E173" s="2520"/>
      <c r="F173" s="2521">
        <f t="shared" si="21"/>
        <v>0</v>
      </c>
      <c r="G173" s="2518"/>
      <c r="H173" s="2552"/>
      <c r="I173" s="2520"/>
      <c r="J173" s="2521">
        <f t="shared" si="22"/>
        <v>0</v>
      </c>
      <c r="K173" s="2515" t="e">
        <f t="shared" si="24"/>
        <v>#DIV/0!</v>
      </c>
      <c r="L173" s="880"/>
      <c r="M173" s="880"/>
      <c r="N173" s="880"/>
      <c r="O173" s="880"/>
      <c r="P173" s="880"/>
      <c r="Q173" s="880"/>
      <c r="R173" s="880"/>
      <c r="S173" s="877">
        <f t="shared" si="25"/>
        <v>0</v>
      </c>
      <c r="T173" s="878"/>
      <c r="U173" s="878"/>
      <c r="V173" s="878"/>
      <c r="W173" s="877">
        <f t="shared" si="26"/>
        <v>0</v>
      </c>
      <c r="X173" s="267">
        <f t="shared" si="23"/>
        <v>0</v>
      </c>
      <c r="Y173" s="267">
        <f t="shared" si="28"/>
        <v>0</v>
      </c>
      <c r="Z173" s="474"/>
      <c r="AA173" s="474"/>
      <c r="AB173" s="453" t="e">
        <f>F173/#REF!*100</f>
        <v>#REF!</v>
      </c>
    </row>
    <row r="174" spans="1:29" ht="42.75" hidden="1" customHeight="1">
      <c r="A174" s="2516">
        <v>722704</v>
      </c>
      <c r="B174" s="2517" t="s">
        <v>138</v>
      </c>
      <c r="C174" s="2518"/>
      <c r="D174" s="2552"/>
      <c r="E174" s="2520"/>
      <c r="F174" s="2521">
        <f t="shared" si="21"/>
        <v>0</v>
      </c>
      <c r="G174" s="2518"/>
      <c r="H174" s="2552"/>
      <c r="I174" s="2520"/>
      <c r="J174" s="2521">
        <f t="shared" si="22"/>
        <v>0</v>
      </c>
      <c r="K174" s="2515" t="e">
        <f t="shared" si="24"/>
        <v>#DIV/0!</v>
      </c>
      <c r="L174" s="880"/>
      <c r="M174" s="880"/>
      <c r="N174" s="880"/>
      <c r="O174" s="880"/>
      <c r="P174" s="880"/>
      <c r="Q174" s="880"/>
      <c r="R174" s="880"/>
      <c r="S174" s="877">
        <f t="shared" si="25"/>
        <v>0</v>
      </c>
      <c r="T174" s="878"/>
      <c r="U174" s="878"/>
      <c r="V174" s="878"/>
      <c r="W174" s="877">
        <f t="shared" si="26"/>
        <v>0</v>
      </c>
      <c r="X174" s="267">
        <f t="shared" si="23"/>
        <v>0</v>
      </c>
      <c r="Y174" s="267">
        <f t="shared" si="28"/>
        <v>0</v>
      </c>
      <c r="Z174" s="474"/>
      <c r="AA174" s="474"/>
      <c r="AB174" s="453"/>
    </row>
    <row r="175" spans="1:29" s="289" customFormat="1" ht="24" customHeight="1">
      <c r="A175" s="2502">
        <v>723000</v>
      </c>
      <c r="B175" s="2524" t="s">
        <v>142</v>
      </c>
      <c r="C175" s="2504">
        <v>10000</v>
      </c>
      <c r="D175" s="2505"/>
      <c r="E175" s="2506"/>
      <c r="F175" s="2507">
        <f>SUM(C175:E175)</f>
        <v>10000</v>
      </c>
      <c r="G175" s="2504">
        <v>10000</v>
      </c>
      <c r="H175" s="2505"/>
      <c r="I175" s="2506"/>
      <c r="J175" s="2507">
        <f>SUM(G175:I175)</f>
        <v>10000</v>
      </c>
      <c r="K175" s="2508">
        <f t="shared" si="24"/>
        <v>100</v>
      </c>
      <c r="L175" s="877"/>
      <c r="M175" s="877"/>
      <c r="N175" s="877"/>
      <c r="O175" s="877"/>
      <c r="P175" s="877"/>
      <c r="Q175" s="877"/>
      <c r="R175" s="877"/>
      <c r="S175" s="877">
        <f t="shared" si="25"/>
        <v>0</v>
      </c>
      <c r="T175" s="877"/>
      <c r="U175" s="877"/>
      <c r="V175" s="877"/>
      <c r="W175" s="877">
        <f t="shared" si="26"/>
        <v>0</v>
      </c>
      <c r="X175" s="267">
        <f t="shared" si="23"/>
        <v>0</v>
      </c>
      <c r="Y175" s="267">
        <f t="shared" si="28"/>
        <v>-10000</v>
      </c>
      <c r="Z175" s="267"/>
      <c r="AA175" s="267"/>
      <c r="AB175" s="453" t="e">
        <f>F175/#REF!*100</f>
        <v>#REF!</v>
      </c>
    </row>
    <row r="176" spans="1:29" s="289" customFormat="1" ht="29.25" hidden="1" customHeight="1">
      <c r="A176" s="2553">
        <v>723131</v>
      </c>
      <c r="B176" s="2554" t="s">
        <v>143</v>
      </c>
      <c r="C176" s="2555"/>
      <c r="D176" s="2556"/>
      <c r="E176" s="2557"/>
      <c r="F176" s="2558"/>
      <c r="G176" s="2555"/>
      <c r="H176" s="2556"/>
      <c r="I176" s="2557"/>
      <c r="J176" s="2558"/>
      <c r="K176" s="2508" t="e">
        <f t="shared" si="24"/>
        <v>#DIV/0!</v>
      </c>
      <c r="L176" s="877"/>
      <c r="M176" s="877"/>
      <c r="N176" s="877"/>
      <c r="O176" s="877"/>
      <c r="P176" s="877"/>
      <c r="Q176" s="877"/>
      <c r="R176" s="877"/>
      <c r="S176" s="877">
        <f t="shared" si="25"/>
        <v>0</v>
      </c>
      <c r="T176" s="877"/>
      <c r="U176" s="877"/>
      <c r="V176" s="877"/>
      <c r="W176" s="877">
        <f t="shared" si="26"/>
        <v>0</v>
      </c>
      <c r="X176" s="267">
        <f t="shared" si="23"/>
        <v>0</v>
      </c>
      <c r="Y176" s="267">
        <f t="shared" si="28"/>
        <v>0</v>
      </c>
      <c r="Z176" s="267"/>
      <c r="AA176" s="267"/>
      <c r="AB176" s="453" t="e">
        <f>F176/#REF!*100</f>
        <v>#REF!</v>
      </c>
    </row>
    <row r="177" spans="1:28" s="289" customFormat="1" ht="29.25" customHeight="1">
      <c r="A177" s="2502"/>
      <c r="B177" s="2524" t="s">
        <v>144</v>
      </c>
      <c r="C177" s="2504"/>
      <c r="D177" s="2505"/>
      <c r="E177" s="2506">
        <f>SUM(E178:E193)</f>
        <v>2512577</v>
      </c>
      <c r="F177" s="2507">
        <f>SUM(F178:F193)</f>
        <v>2512577</v>
      </c>
      <c r="G177" s="2504"/>
      <c r="H177" s="2505"/>
      <c r="I177" s="2506">
        <v>800000</v>
      </c>
      <c r="J177" s="2507">
        <f>G177+H177+I177</f>
        <v>800000</v>
      </c>
      <c r="K177" s="2508">
        <f t="shared" si="24"/>
        <v>31.839820232374965</v>
      </c>
      <c r="L177" s="877"/>
      <c r="M177" s="877"/>
      <c r="N177" s="877"/>
      <c r="O177" s="877"/>
      <c r="P177" s="877"/>
      <c r="Q177" s="877"/>
      <c r="R177" s="877"/>
      <c r="S177" s="877">
        <f t="shared" si="25"/>
        <v>0</v>
      </c>
      <c r="T177" s="877"/>
      <c r="U177" s="877"/>
      <c r="V177" s="877"/>
      <c r="W177" s="877">
        <f t="shared" si="26"/>
        <v>0</v>
      </c>
      <c r="X177" s="267">
        <f t="shared" si="23"/>
        <v>0</v>
      </c>
      <c r="Y177" s="267">
        <f t="shared" si="28"/>
        <v>-2512577</v>
      </c>
      <c r="Z177" s="267"/>
      <c r="AA177" s="267"/>
      <c r="AB177" s="453" t="e">
        <f>F177/#REF!*100</f>
        <v>#REF!</v>
      </c>
    </row>
    <row r="178" spans="1:28" s="289" customFormat="1" ht="29.25" customHeight="1">
      <c r="A178" s="2516" t="s">
        <v>1490</v>
      </c>
      <c r="B178" s="2517" t="s">
        <v>880</v>
      </c>
      <c r="C178" s="2559"/>
      <c r="D178" s="2560"/>
      <c r="E178" s="2543">
        <v>126603</v>
      </c>
      <c r="F178" s="2542">
        <f>SUM(C178:E178)</f>
        <v>126603</v>
      </c>
      <c r="G178" s="2559"/>
      <c r="H178" s="2560"/>
      <c r="I178" s="2543"/>
      <c r="J178" s="2542">
        <f>SUM(G178:I178)</f>
        <v>0</v>
      </c>
      <c r="K178" s="2515">
        <f t="shared" si="24"/>
        <v>0</v>
      </c>
      <c r="L178" s="880"/>
      <c r="M178" s="880"/>
      <c r="N178" s="880"/>
      <c r="O178" s="880"/>
      <c r="P178" s="880"/>
      <c r="Q178" s="880"/>
      <c r="R178" s="880"/>
      <c r="S178" s="877">
        <f t="shared" si="25"/>
        <v>0</v>
      </c>
      <c r="T178" s="877"/>
      <c r="U178" s="877"/>
      <c r="V178" s="877"/>
      <c r="W178" s="877">
        <f t="shared" si="26"/>
        <v>0</v>
      </c>
      <c r="X178" s="267">
        <f t="shared" si="23"/>
        <v>0</v>
      </c>
      <c r="Y178" s="267">
        <f t="shared" si="28"/>
        <v>-126603</v>
      </c>
      <c r="Z178" s="267"/>
      <c r="AA178" s="267"/>
      <c r="AB178" s="453"/>
    </row>
    <row r="179" spans="1:28" ht="39.75" customHeight="1">
      <c r="A179" s="2516" t="s">
        <v>145</v>
      </c>
      <c r="B179" s="2517" t="s">
        <v>880</v>
      </c>
      <c r="C179" s="2522"/>
      <c r="D179" s="1675"/>
      <c r="E179" s="2561">
        <v>36235</v>
      </c>
      <c r="F179" s="2542">
        <f t="shared" ref="F179:F193" si="29">SUM(C179:E179)</f>
        <v>36235</v>
      </c>
      <c r="G179" s="2522"/>
      <c r="H179" s="1675"/>
      <c r="I179" s="2561"/>
      <c r="J179" s="2542">
        <f t="shared" ref="J179:J193" si="30">SUM(G179:I179)</f>
        <v>0</v>
      </c>
      <c r="K179" s="2515">
        <f t="shared" si="24"/>
        <v>0</v>
      </c>
      <c r="L179" s="880"/>
      <c r="M179" s="880">
        <f>I177+250000</f>
        <v>1050000</v>
      </c>
      <c r="N179" s="880"/>
      <c r="O179" s="880"/>
      <c r="P179" s="880"/>
      <c r="Q179" s="880"/>
      <c r="R179" s="880"/>
      <c r="S179" s="877">
        <f t="shared" si="25"/>
        <v>0</v>
      </c>
      <c r="T179" s="879"/>
      <c r="U179" s="879"/>
      <c r="V179" s="879"/>
      <c r="W179" s="877">
        <f t="shared" si="26"/>
        <v>0</v>
      </c>
      <c r="X179" s="267">
        <f t="shared" si="23"/>
        <v>0</v>
      </c>
      <c r="Y179" s="267">
        <f t="shared" si="28"/>
        <v>-36235</v>
      </c>
      <c r="Z179" s="475"/>
      <c r="AA179" s="475"/>
      <c r="AB179" s="453" t="e">
        <f>F179/#REF!*100</f>
        <v>#REF!</v>
      </c>
    </row>
    <row r="180" spans="1:28" ht="29.25" hidden="1" customHeight="1">
      <c r="A180" s="2516">
        <v>731112</v>
      </c>
      <c r="B180" s="2517" t="s">
        <v>146</v>
      </c>
      <c r="C180" s="2522"/>
      <c r="D180" s="1675"/>
      <c r="E180" s="2561"/>
      <c r="F180" s="2542">
        <f t="shared" si="29"/>
        <v>0</v>
      </c>
      <c r="G180" s="2522"/>
      <c r="H180" s="1675"/>
      <c r="I180" s="2561"/>
      <c r="J180" s="2542">
        <f t="shared" si="30"/>
        <v>0</v>
      </c>
      <c r="K180" s="2515" t="e">
        <f t="shared" si="24"/>
        <v>#DIV/0!</v>
      </c>
      <c r="L180" s="880"/>
      <c r="M180" s="880"/>
      <c r="N180" s="880"/>
      <c r="O180" s="880"/>
      <c r="P180" s="880"/>
      <c r="Q180" s="880"/>
      <c r="R180" s="880"/>
      <c r="S180" s="877">
        <f t="shared" si="25"/>
        <v>0</v>
      </c>
      <c r="T180" s="878"/>
      <c r="U180" s="878"/>
      <c r="V180" s="878"/>
      <c r="W180" s="877">
        <f t="shared" si="26"/>
        <v>0</v>
      </c>
      <c r="X180" s="267">
        <f t="shared" si="23"/>
        <v>0</v>
      </c>
      <c r="Y180" s="267">
        <f t="shared" si="28"/>
        <v>0</v>
      </c>
      <c r="Z180" s="474"/>
      <c r="AA180" s="474"/>
      <c r="AB180" s="453" t="e">
        <f>F180/#REF!*100</f>
        <v>#REF!</v>
      </c>
    </row>
    <row r="181" spans="1:28" ht="29.25" customHeight="1">
      <c r="A181" s="2516" t="s">
        <v>145</v>
      </c>
      <c r="B181" s="2517" t="s">
        <v>1219</v>
      </c>
      <c r="C181" s="2522"/>
      <c r="D181" s="1675"/>
      <c r="E181" s="2561"/>
      <c r="F181" s="2542">
        <f t="shared" si="29"/>
        <v>0</v>
      </c>
      <c r="G181" s="2522"/>
      <c r="H181" s="1675"/>
      <c r="I181" s="2561"/>
      <c r="J181" s="2542">
        <f t="shared" si="30"/>
        <v>0</v>
      </c>
      <c r="K181" s="2515"/>
      <c r="L181" s="880"/>
      <c r="M181" s="880"/>
      <c r="N181" s="880"/>
      <c r="O181" s="880"/>
      <c r="P181" s="880"/>
      <c r="Q181" s="880"/>
      <c r="R181" s="880"/>
      <c r="S181" s="877">
        <f t="shared" si="25"/>
        <v>0</v>
      </c>
      <c r="T181" s="878"/>
      <c r="U181" s="878"/>
      <c r="V181" s="878"/>
      <c r="W181" s="877">
        <f t="shared" si="26"/>
        <v>0</v>
      </c>
      <c r="X181" s="267">
        <f t="shared" si="23"/>
        <v>0</v>
      </c>
      <c r="Y181" s="267">
        <f t="shared" si="28"/>
        <v>0</v>
      </c>
      <c r="Z181" s="474"/>
      <c r="AA181" s="474"/>
      <c r="AB181" s="453" t="e">
        <f>F181/#REF!*100</f>
        <v>#REF!</v>
      </c>
    </row>
    <row r="182" spans="1:28" ht="29.25" customHeight="1">
      <c r="A182" s="2516" t="s">
        <v>147</v>
      </c>
      <c r="B182" s="2517" t="s">
        <v>148</v>
      </c>
      <c r="C182" s="2522"/>
      <c r="D182" s="1675"/>
      <c r="E182" s="2561">
        <v>1851170</v>
      </c>
      <c r="F182" s="2542">
        <f t="shared" si="29"/>
        <v>1851170</v>
      </c>
      <c r="G182" s="2522"/>
      <c r="H182" s="1675"/>
      <c r="I182" s="2561"/>
      <c r="J182" s="2542">
        <f t="shared" si="30"/>
        <v>0</v>
      </c>
      <c r="K182" s="2515">
        <f t="shared" si="24"/>
        <v>0</v>
      </c>
      <c r="L182" s="880"/>
      <c r="M182" s="880"/>
      <c r="N182" s="880"/>
      <c r="O182" s="880"/>
      <c r="P182" s="880"/>
      <c r="Q182" s="880"/>
      <c r="R182" s="880"/>
      <c r="S182" s="877">
        <f t="shared" si="25"/>
        <v>0</v>
      </c>
      <c r="T182" s="879"/>
      <c r="U182" s="879"/>
      <c r="V182" s="879"/>
      <c r="W182" s="877">
        <f t="shared" si="26"/>
        <v>0</v>
      </c>
      <c r="X182" s="267">
        <f t="shared" si="23"/>
        <v>0</v>
      </c>
      <c r="Y182" s="267">
        <f t="shared" si="28"/>
        <v>-1851170</v>
      </c>
      <c r="Z182" s="475"/>
      <c r="AA182" s="475"/>
      <c r="AB182" s="453" t="e">
        <f>F182/#REF!*100</f>
        <v>#REF!</v>
      </c>
    </row>
    <row r="183" spans="1:28" ht="29.25" hidden="1" customHeight="1">
      <c r="A183" s="2516" t="s">
        <v>149</v>
      </c>
      <c r="B183" s="2517" t="s">
        <v>148</v>
      </c>
      <c r="C183" s="2522"/>
      <c r="D183" s="1675"/>
      <c r="E183" s="2561"/>
      <c r="F183" s="2542">
        <f t="shared" si="29"/>
        <v>0</v>
      </c>
      <c r="G183" s="2522"/>
      <c r="H183" s="1675"/>
      <c r="I183" s="2561"/>
      <c r="J183" s="2542">
        <f t="shared" si="30"/>
        <v>0</v>
      </c>
      <c r="K183" s="2515" t="e">
        <f t="shared" si="24"/>
        <v>#DIV/0!</v>
      </c>
      <c r="L183" s="880"/>
      <c r="M183" s="880"/>
      <c r="N183" s="880"/>
      <c r="O183" s="880"/>
      <c r="P183" s="880"/>
      <c r="Q183" s="880"/>
      <c r="R183" s="880"/>
      <c r="S183" s="877">
        <f t="shared" si="25"/>
        <v>0</v>
      </c>
      <c r="T183" s="878"/>
      <c r="U183" s="878"/>
      <c r="V183" s="878"/>
      <c r="W183" s="877">
        <f t="shared" si="26"/>
        <v>0</v>
      </c>
      <c r="X183" s="267">
        <f t="shared" si="23"/>
        <v>0</v>
      </c>
      <c r="Y183" s="267">
        <f t="shared" si="28"/>
        <v>0</v>
      </c>
      <c r="Z183" s="474"/>
      <c r="AA183" s="474"/>
      <c r="AB183" s="453" t="e">
        <f>F183/#REF!*100</f>
        <v>#REF!</v>
      </c>
    </row>
    <row r="184" spans="1:28" ht="29.25" hidden="1" customHeight="1">
      <c r="A184" s="2516" t="s">
        <v>149</v>
      </c>
      <c r="B184" s="2517" t="s">
        <v>148</v>
      </c>
      <c r="C184" s="2522"/>
      <c r="D184" s="1675"/>
      <c r="E184" s="2561"/>
      <c r="F184" s="2542">
        <f t="shared" si="29"/>
        <v>0</v>
      </c>
      <c r="G184" s="2522"/>
      <c r="H184" s="1675"/>
      <c r="I184" s="2561"/>
      <c r="J184" s="2542">
        <f t="shared" si="30"/>
        <v>0</v>
      </c>
      <c r="K184" s="2515" t="e">
        <f t="shared" si="24"/>
        <v>#DIV/0!</v>
      </c>
      <c r="L184" s="880"/>
      <c r="M184" s="880"/>
      <c r="N184" s="880"/>
      <c r="O184" s="880"/>
      <c r="P184" s="880"/>
      <c r="Q184" s="880"/>
      <c r="R184" s="880"/>
      <c r="S184" s="877">
        <f t="shared" si="25"/>
        <v>0</v>
      </c>
      <c r="T184" s="878"/>
      <c r="U184" s="878"/>
      <c r="V184" s="878"/>
      <c r="W184" s="877">
        <f t="shared" si="26"/>
        <v>0</v>
      </c>
      <c r="X184" s="267">
        <f t="shared" si="23"/>
        <v>0</v>
      </c>
      <c r="Y184" s="267">
        <f t="shared" si="28"/>
        <v>0</v>
      </c>
      <c r="Z184" s="474"/>
      <c r="AA184" s="474"/>
      <c r="AB184" s="453" t="e">
        <f>F184/#REF!*100</f>
        <v>#REF!</v>
      </c>
    </row>
    <row r="185" spans="1:28" ht="29.25" hidden="1" customHeight="1">
      <c r="A185" s="2516" t="s">
        <v>150</v>
      </c>
      <c r="B185" s="2517" t="s">
        <v>148</v>
      </c>
      <c r="C185" s="2522"/>
      <c r="D185" s="1675"/>
      <c r="E185" s="2561"/>
      <c r="F185" s="2542">
        <f t="shared" si="29"/>
        <v>0</v>
      </c>
      <c r="G185" s="2522"/>
      <c r="H185" s="1675"/>
      <c r="I185" s="2561"/>
      <c r="J185" s="2542">
        <f t="shared" si="30"/>
        <v>0</v>
      </c>
      <c r="K185" s="2515" t="e">
        <f t="shared" si="24"/>
        <v>#DIV/0!</v>
      </c>
      <c r="L185" s="880"/>
      <c r="M185" s="880"/>
      <c r="N185" s="880"/>
      <c r="O185" s="880"/>
      <c r="P185" s="880"/>
      <c r="Q185" s="880"/>
      <c r="R185" s="880"/>
      <c r="S185" s="877">
        <f t="shared" si="25"/>
        <v>0</v>
      </c>
      <c r="T185" s="878"/>
      <c r="U185" s="878"/>
      <c r="V185" s="878"/>
      <c r="W185" s="877">
        <f t="shared" si="26"/>
        <v>0</v>
      </c>
      <c r="X185" s="267">
        <f t="shared" si="23"/>
        <v>0</v>
      </c>
      <c r="Y185" s="267">
        <f t="shared" si="28"/>
        <v>0</v>
      </c>
      <c r="Z185" s="474"/>
      <c r="AA185" s="474"/>
      <c r="AB185" s="453" t="e">
        <f>F185/#REF!*100</f>
        <v>#REF!</v>
      </c>
    </row>
    <row r="186" spans="1:28" ht="29.25" hidden="1" customHeight="1">
      <c r="A186" s="2562" t="s">
        <v>151</v>
      </c>
      <c r="B186" s="2517" t="s">
        <v>148</v>
      </c>
      <c r="C186" s="2522"/>
      <c r="D186" s="1675"/>
      <c r="E186" s="2561"/>
      <c r="F186" s="2542">
        <f t="shared" si="29"/>
        <v>0</v>
      </c>
      <c r="G186" s="2522"/>
      <c r="H186" s="1675"/>
      <c r="I186" s="2561"/>
      <c r="J186" s="2542">
        <f t="shared" si="30"/>
        <v>0</v>
      </c>
      <c r="K186" s="2515" t="e">
        <f t="shared" si="24"/>
        <v>#DIV/0!</v>
      </c>
      <c r="L186" s="880"/>
      <c r="M186" s="880"/>
      <c r="N186" s="880"/>
      <c r="O186" s="880"/>
      <c r="P186" s="880"/>
      <c r="Q186" s="880"/>
      <c r="R186" s="880"/>
      <c r="S186" s="877">
        <f t="shared" si="25"/>
        <v>0</v>
      </c>
      <c r="T186" s="878"/>
      <c r="U186" s="878"/>
      <c r="V186" s="878"/>
      <c r="W186" s="877">
        <f t="shared" si="26"/>
        <v>0</v>
      </c>
      <c r="X186" s="267">
        <f t="shared" si="23"/>
        <v>0</v>
      </c>
      <c r="Y186" s="267">
        <f t="shared" si="28"/>
        <v>0</v>
      </c>
      <c r="Z186" s="474"/>
      <c r="AA186" s="474"/>
      <c r="AB186" s="453" t="e">
        <f>F186/#REF!*100</f>
        <v>#REF!</v>
      </c>
    </row>
    <row r="187" spans="1:28" ht="29.25" hidden="1" customHeight="1">
      <c r="A187" s="2516" t="s">
        <v>150</v>
      </c>
      <c r="B187" s="2517" t="s">
        <v>148</v>
      </c>
      <c r="C187" s="2522"/>
      <c r="D187" s="1675"/>
      <c r="E187" s="2561"/>
      <c r="F187" s="2542">
        <f t="shared" si="29"/>
        <v>0</v>
      </c>
      <c r="G187" s="2522"/>
      <c r="H187" s="1675"/>
      <c r="I187" s="2561"/>
      <c r="J187" s="2542">
        <f t="shared" si="30"/>
        <v>0</v>
      </c>
      <c r="K187" s="2515" t="e">
        <f t="shared" si="24"/>
        <v>#DIV/0!</v>
      </c>
      <c r="L187" s="880"/>
      <c r="M187" s="880"/>
      <c r="N187" s="880"/>
      <c r="O187" s="880"/>
      <c r="P187" s="880"/>
      <c r="Q187" s="880"/>
      <c r="R187" s="880"/>
      <c r="S187" s="877">
        <f t="shared" si="25"/>
        <v>0</v>
      </c>
      <c r="T187" s="878"/>
      <c r="U187" s="878"/>
      <c r="V187" s="878"/>
      <c r="W187" s="877">
        <f t="shared" si="26"/>
        <v>0</v>
      </c>
      <c r="X187" s="267">
        <f t="shared" si="23"/>
        <v>0</v>
      </c>
      <c r="Y187" s="267">
        <f t="shared" si="28"/>
        <v>0</v>
      </c>
      <c r="Z187" s="474"/>
      <c r="AA187" s="474"/>
      <c r="AB187" s="453" t="e">
        <f>F187/#REF!*100</f>
        <v>#REF!</v>
      </c>
    </row>
    <row r="188" spans="1:28" ht="29.25" hidden="1" customHeight="1">
      <c r="A188" s="2516">
        <v>732114</v>
      </c>
      <c r="B188" s="2517" t="s">
        <v>148</v>
      </c>
      <c r="C188" s="2522"/>
      <c r="D188" s="1675"/>
      <c r="E188" s="2561"/>
      <c r="F188" s="2542">
        <f t="shared" si="29"/>
        <v>0</v>
      </c>
      <c r="G188" s="2522"/>
      <c r="H188" s="1675"/>
      <c r="I188" s="2561"/>
      <c r="J188" s="2542">
        <f t="shared" si="30"/>
        <v>0</v>
      </c>
      <c r="K188" s="2515" t="e">
        <f t="shared" si="24"/>
        <v>#DIV/0!</v>
      </c>
      <c r="L188" s="880"/>
      <c r="M188" s="880"/>
      <c r="N188" s="880"/>
      <c r="O188" s="880"/>
      <c r="P188" s="880"/>
      <c r="Q188" s="880"/>
      <c r="R188" s="880"/>
      <c r="S188" s="877">
        <f t="shared" si="25"/>
        <v>0</v>
      </c>
      <c r="T188" s="878"/>
      <c r="U188" s="878"/>
      <c r="V188" s="878"/>
      <c r="W188" s="877">
        <f t="shared" si="26"/>
        <v>0</v>
      </c>
      <c r="X188" s="267">
        <f t="shared" si="23"/>
        <v>0</v>
      </c>
      <c r="Y188" s="267">
        <f t="shared" si="28"/>
        <v>0</v>
      </c>
      <c r="Z188" s="474"/>
      <c r="AA188" s="474"/>
      <c r="AB188" s="453" t="e">
        <f>F188/#REF!*100</f>
        <v>#REF!</v>
      </c>
    </row>
    <row r="189" spans="1:28" ht="29.25" hidden="1" customHeight="1">
      <c r="A189" s="2516">
        <v>732115</v>
      </c>
      <c r="B189" s="2517" t="s">
        <v>148</v>
      </c>
      <c r="C189" s="2522"/>
      <c r="D189" s="1675"/>
      <c r="E189" s="2561"/>
      <c r="F189" s="2542">
        <f t="shared" si="29"/>
        <v>0</v>
      </c>
      <c r="G189" s="2522"/>
      <c r="H189" s="1675"/>
      <c r="I189" s="2561"/>
      <c r="J189" s="2542">
        <f t="shared" si="30"/>
        <v>0</v>
      </c>
      <c r="K189" s="2515" t="e">
        <f t="shared" si="24"/>
        <v>#DIV/0!</v>
      </c>
      <c r="L189" s="880"/>
      <c r="M189" s="880"/>
      <c r="N189" s="880"/>
      <c r="O189" s="880"/>
      <c r="P189" s="880"/>
      <c r="Q189" s="880"/>
      <c r="R189" s="880"/>
      <c r="S189" s="877">
        <f t="shared" si="25"/>
        <v>0</v>
      </c>
      <c r="T189" s="878"/>
      <c r="U189" s="878"/>
      <c r="V189" s="878"/>
      <c r="W189" s="877">
        <f t="shared" si="26"/>
        <v>0</v>
      </c>
      <c r="X189" s="267">
        <f t="shared" si="23"/>
        <v>0</v>
      </c>
      <c r="Y189" s="267">
        <f t="shared" si="28"/>
        <v>0</v>
      </c>
      <c r="Z189" s="474"/>
      <c r="AA189" s="474"/>
      <c r="AB189" s="453" t="e">
        <f>F189/#REF!*100</f>
        <v>#REF!</v>
      </c>
    </row>
    <row r="190" spans="1:28" ht="33.75" customHeight="1">
      <c r="A190" s="2516" t="s">
        <v>147</v>
      </c>
      <c r="B190" s="2517" t="s">
        <v>881</v>
      </c>
      <c r="C190" s="2522"/>
      <c r="D190" s="1675"/>
      <c r="E190" s="2561">
        <v>488564</v>
      </c>
      <c r="F190" s="2542">
        <f t="shared" si="29"/>
        <v>488564</v>
      </c>
      <c r="G190" s="2522"/>
      <c r="H190" s="1675"/>
      <c r="I190" s="2561"/>
      <c r="J190" s="2542">
        <f t="shared" si="30"/>
        <v>0</v>
      </c>
      <c r="K190" s="2515">
        <f t="shared" si="24"/>
        <v>0</v>
      </c>
      <c r="L190" s="880"/>
      <c r="M190" s="880"/>
      <c r="N190" s="880"/>
      <c r="O190" s="880"/>
      <c r="P190" s="880"/>
      <c r="Q190" s="880"/>
      <c r="R190" s="880"/>
      <c r="S190" s="877">
        <f t="shared" si="25"/>
        <v>0</v>
      </c>
      <c r="T190" s="879"/>
      <c r="U190" s="879"/>
      <c r="V190" s="879"/>
      <c r="W190" s="877">
        <f t="shared" si="26"/>
        <v>0</v>
      </c>
      <c r="X190" s="267">
        <f t="shared" si="23"/>
        <v>0</v>
      </c>
      <c r="Y190" s="267">
        <f t="shared" si="28"/>
        <v>-488564</v>
      </c>
      <c r="Z190" s="475"/>
      <c r="AA190" s="475"/>
      <c r="AB190" s="453" t="e">
        <f>F190/#REF!*100</f>
        <v>#REF!</v>
      </c>
    </row>
    <row r="191" spans="1:28" ht="29.25" customHeight="1">
      <c r="A191" s="2516" t="s">
        <v>152</v>
      </c>
      <c r="B191" s="2532" t="s">
        <v>153</v>
      </c>
      <c r="C191" s="2522"/>
      <c r="D191" s="1675"/>
      <c r="E191" s="2561"/>
      <c r="F191" s="2542">
        <f t="shared" si="29"/>
        <v>0</v>
      </c>
      <c r="G191" s="2522"/>
      <c r="H191" s="1675"/>
      <c r="I191" s="2561"/>
      <c r="J191" s="2542">
        <f t="shared" si="30"/>
        <v>0</v>
      </c>
      <c r="K191" s="2515"/>
      <c r="L191" s="880"/>
      <c r="M191" s="880"/>
      <c r="N191" s="880"/>
      <c r="O191" s="880"/>
      <c r="P191" s="880"/>
      <c r="Q191" s="880"/>
      <c r="R191" s="880"/>
      <c r="S191" s="877">
        <f t="shared" si="25"/>
        <v>0</v>
      </c>
      <c r="T191" s="879"/>
      <c r="U191" s="879"/>
      <c r="V191" s="879"/>
      <c r="W191" s="877">
        <f t="shared" si="26"/>
        <v>0</v>
      </c>
      <c r="X191" s="267">
        <f t="shared" si="23"/>
        <v>0</v>
      </c>
      <c r="Y191" s="267">
        <f t="shared" si="28"/>
        <v>0</v>
      </c>
      <c r="Z191" s="475"/>
      <c r="AA191" s="475"/>
      <c r="AB191" s="453" t="e">
        <f>F191/#REF!*100</f>
        <v>#REF!</v>
      </c>
    </row>
    <row r="192" spans="1:28" ht="29.25" hidden="1" customHeight="1">
      <c r="A192" s="2516" t="s">
        <v>1066</v>
      </c>
      <c r="B192" s="2532" t="s">
        <v>153</v>
      </c>
      <c r="C192" s="2522"/>
      <c r="D192" s="1675"/>
      <c r="E192" s="2561"/>
      <c r="F192" s="2542">
        <f t="shared" si="29"/>
        <v>0</v>
      </c>
      <c r="G192" s="2522"/>
      <c r="H192" s="1675"/>
      <c r="I192" s="2561"/>
      <c r="J192" s="2542">
        <f t="shared" si="30"/>
        <v>0</v>
      </c>
      <c r="K192" s="2515" t="e">
        <f t="shared" si="24"/>
        <v>#DIV/0!</v>
      </c>
      <c r="L192" s="880"/>
      <c r="M192" s="880"/>
      <c r="N192" s="880"/>
      <c r="O192" s="880"/>
      <c r="P192" s="880"/>
      <c r="Q192" s="880"/>
      <c r="R192" s="880"/>
      <c r="S192" s="877">
        <f t="shared" si="25"/>
        <v>0</v>
      </c>
      <c r="T192" s="878"/>
      <c r="U192" s="878"/>
      <c r="V192" s="878"/>
      <c r="W192" s="877">
        <f t="shared" si="26"/>
        <v>0</v>
      </c>
      <c r="X192" s="267">
        <f t="shared" ref="X192:X210" si="31">C192+D192+E192-F192</f>
        <v>0</v>
      </c>
      <c r="Y192" s="267">
        <f t="shared" si="28"/>
        <v>0</v>
      </c>
      <c r="Z192" s="474"/>
      <c r="AA192" s="474"/>
      <c r="AB192" s="453" t="e">
        <f>F192/#REF!*100</f>
        <v>#REF!</v>
      </c>
    </row>
    <row r="193" spans="1:28" ht="29.25" customHeight="1">
      <c r="A193" s="2516" t="s">
        <v>1067</v>
      </c>
      <c r="B193" s="2532" t="s">
        <v>1068</v>
      </c>
      <c r="C193" s="2522"/>
      <c r="D193" s="1675"/>
      <c r="E193" s="2561">
        <v>10005</v>
      </c>
      <c r="F193" s="2542">
        <f t="shared" si="29"/>
        <v>10005</v>
      </c>
      <c r="G193" s="2522"/>
      <c r="H193" s="1675"/>
      <c r="I193" s="2561"/>
      <c r="J193" s="2542">
        <f t="shared" si="30"/>
        <v>0</v>
      </c>
      <c r="K193" s="2515">
        <f t="shared" si="24"/>
        <v>0</v>
      </c>
      <c r="L193" s="880"/>
      <c r="M193" s="880"/>
      <c r="N193" s="880"/>
      <c r="O193" s="880"/>
      <c r="P193" s="880"/>
      <c r="Q193" s="880"/>
      <c r="R193" s="880"/>
      <c r="S193" s="877">
        <f t="shared" si="25"/>
        <v>0</v>
      </c>
      <c r="T193" s="879"/>
      <c r="U193" s="879"/>
      <c r="V193" s="879"/>
      <c r="W193" s="877">
        <f t="shared" si="26"/>
        <v>0</v>
      </c>
      <c r="X193" s="267">
        <f t="shared" si="31"/>
        <v>0</v>
      </c>
      <c r="Y193" s="267">
        <f t="shared" si="28"/>
        <v>-10005</v>
      </c>
      <c r="Z193" s="475"/>
      <c r="AA193" s="475"/>
      <c r="AB193" s="453" t="e">
        <f>F193/#REF!*100</f>
        <v>#REF!</v>
      </c>
    </row>
    <row r="194" spans="1:28" s="289" customFormat="1" ht="29.25" customHeight="1">
      <c r="A194" s="2553"/>
      <c r="B194" s="2554" t="s">
        <v>154</v>
      </c>
      <c r="C194" s="2563"/>
      <c r="D194" s="2564"/>
      <c r="E194" s="2557">
        <f>SUM(E195:E209)</f>
        <v>7306361</v>
      </c>
      <c r="F194" s="2558">
        <f>SUM(F195:F209)</f>
        <v>7306361</v>
      </c>
      <c r="G194" s="2563"/>
      <c r="H194" s="2564"/>
      <c r="I194" s="2557">
        <v>972311</v>
      </c>
      <c r="J194" s="2507">
        <f>G194+H194+I194</f>
        <v>972311</v>
      </c>
      <c r="K194" s="2508">
        <f t="shared" si="24"/>
        <v>13.307732809807781</v>
      </c>
      <c r="L194" s="877"/>
      <c r="M194" s="877"/>
      <c r="N194" s="877"/>
      <c r="O194" s="877"/>
      <c r="P194" s="877"/>
      <c r="Q194" s="877"/>
      <c r="R194" s="877"/>
      <c r="S194" s="877">
        <f t="shared" si="25"/>
        <v>0</v>
      </c>
      <c r="T194" s="882"/>
      <c r="U194" s="882"/>
      <c r="V194" s="882"/>
      <c r="W194" s="877">
        <f t="shared" si="26"/>
        <v>0</v>
      </c>
      <c r="X194" s="267">
        <f t="shared" si="31"/>
        <v>0</v>
      </c>
      <c r="Y194" s="267">
        <f t="shared" si="28"/>
        <v>-7306361</v>
      </c>
      <c r="Z194" s="267"/>
      <c r="AA194" s="267"/>
      <c r="AB194" s="453" t="e">
        <f>F194/#REF!*100</f>
        <v>#REF!</v>
      </c>
    </row>
    <row r="195" spans="1:28" ht="43.5" customHeight="1">
      <c r="A195" s="2516" t="s">
        <v>155</v>
      </c>
      <c r="B195" s="2517" t="s">
        <v>1241</v>
      </c>
      <c r="C195" s="2522"/>
      <c r="D195" s="1675"/>
      <c r="E195" s="2549">
        <v>274323</v>
      </c>
      <c r="F195" s="2521">
        <f>SUM(C195:E195)</f>
        <v>274323</v>
      </c>
      <c r="G195" s="2522"/>
      <c r="H195" s="1675"/>
      <c r="I195" s="2549"/>
      <c r="J195" s="2521">
        <f>SUM(G195:I195)</f>
        <v>0</v>
      </c>
      <c r="K195" s="2515">
        <f t="shared" si="24"/>
        <v>0</v>
      </c>
      <c r="L195" s="880"/>
      <c r="M195" s="880"/>
      <c r="N195" s="880"/>
      <c r="O195" s="880"/>
      <c r="P195" s="880"/>
      <c r="Q195" s="880"/>
      <c r="R195" s="880"/>
      <c r="S195" s="877">
        <f t="shared" si="25"/>
        <v>0</v>
      </c>
      <c r="T195" s="879"/>
      <c r="U195" s="879"/>
      <c r="V195" s="879"/>
      <c r="W195" s="877">
        <f t="shared" si="26"/>
        <v>0</v>
      </c>
      <c r="X195" s="267">
        <f t="shared" si="31"/>
        <v>0</v>
      </c>
      <c r="Y195" s="267">
        <f>'[2]PRIH REBALANS'!$AJ$237</f>
        <v>274323</v>
      </c>
      <c r="Z195" s="475"/>
      <c r="AA195" s="475"/>
      <c r="AB195" s="453" t="e">
        <f>F195/#REF!*100</f>
        <v>#REF!</v>
      </c>
    </row>
    <row r="196" spans="1:28" ht="29.25" hidden="1" customHeight="1">
      <c r="A196" s="2516" t="s">
        <v>1061</v>
      </c>
      <c r="B196" s="2517" t="s">
        <v>882</v>
      </c>
      <c r="C196" s="2522"/>
      <c r="D196" s="1675"/>
      <c r="E196" s="2549"/>
      <c r="F196" s="2521">
        <f t="shared" ref="F196:F209" si="32">SUM(C196:E196)</f>
        <v>0</v>
      </c>
      <c r="G196" s="2522"/>
      <c r="H196" s="1675"/>
      <c r="I196" s="2549"/>
      <c r="J196" s="2521">
        <f t="shared" ref="J196:J209" si="33">SUM(G196:I196)</f>
        <v>0</v>
      </c>
      <c r="K196" s="2515" t="e">
        <f t="shared" si="24"/>
        <v>#DIV/0!</v>
      </c>
      <c r="L196" s="880"/>
      <c r="M196" s="880"/>
      <c r="N196" s="880"/>
      <c r="O196" s="880"/>
      <c r="P196" s="880"/>
      <c r="Q196" s="880"/>
      <c r="R196" s="880"/>
      <c r="S196" s="877">
        <f t="shared" si="25"/>
        <v>0</v>
      </c>
      <c r="T196" s="878"/>
      <c r="U196" s="878"/>
      <c r="V196" s="878"/>
      <c r="W196" s="877">
        <f t="shared" si="26"/>
        <v>0</v>
      </c>
      <c r="X196" s="267">
        <f t="shared" si="31"/>
        <v>0</v>
      </c>
      <c r="Y196" s="267">
        <f t="shared" si="28"/>
        <v>0</v>
      </c>
      <c r="Z196" s="474"/>
      <c r="AA196" s="474"/>
      <c r="AB196" s="453" t="e">
        <f>F196/#REF!*100</f>
        <v>#REF!</v>
      </c>
    </row>
    <row r="197" spans="1:28" ht="29.25" hidden="1" customHeight="1">
      <c r="A197" s="2516" t="s">
        <v>1062</v>
      </c>
      <c r="B197" s="2517" t="s">
        <v>882</v>
      </c>
      <c r="C197" s="2522"/>
      <c r="D197" s="1675"/>
      <c r="E197" s="2549"/>
      <c r="F197" s="2521">
        <f t="shared" si="32"/>
        <v>0</v>
      </c>
      <c r="G197" s="2522"/>
      <c r="H197" s="1675"/>
      <c r="I197" s="2549"/>
      <c r="J197" s="2521">
        <f t="shared" si="33"/>
        <v>0</v>
      </c>
      <c r="K197" s="2515" t="e">
        <f t="shared" si="24"/>
        <v>#DIV/0!</v>
      </c>
      <c r="L197" s="880"/>
      <c r="M197" s="880"/>
      <c r="N197" s="880"/>
      <c r="O197" s="880"/>
      <c r="P197" s="880"/>
      <c r="Q197" s="880"/>
      <c r="R197" s="880"/>
      <c r="S197" s="877">
        <f t="shared" si="25"/>
        <v>0</v>
      </c>
      <c r="T197" s="878"/>
      <c r="U197" s="878"/>
      <c r="V197" s="878"/>
      <c r="W197" s="877">
        <f t="shared" si="26"/>
        <v>0</v>
      </c>
      <c r="X197" s="267">
        <f t="shared" si="31"/>
        <v>0</v>
      </c>
      <c r="Y197" s="267">
        <f t="shared" si="28"/>
        <v>0</v>
      </c>
      <c r="Z197" s="474"/>
      <c r="AA197" s="474"/>
      <c r="AB197" s="453" t="e">
        <f>F197/#REF!*100</f>
        <v>#REF!</v>
      </c>
    </row>
    <row r="198" spans="1:28" ht="29.25" hidden="1" customHeight="1">
      <c r="A198" s="2516" t="s">
        <v>1063</v>
      </c>
      <c r="B198" s="2517" t="s">
        <v>882</v>
      </c>
      <c r="C198" s="2522"/>
      <c r="D198" s="1675"/>
      <c r="E198" s="2549"/>
      <c r="F198" s="2521">
        <f t="shared" si="32"/>
        <v>0</v>
      </c>
      <c r="G198" s="2522"/>
      <c r="H198" s="1675"/>
      <c r="I198" s="2549"/>
      <c r="J198" s="2521">
        <f t="shared" si="33"/>
        <v>0</v>
      </c>
      <c r="K198" s="2515" t="e">
        <f t="shared" si="24"/>
        <v>#DIV/0!</v>
      </c>
      <c r="L198" s="880"/>
      <c r="M198" s="880"/>
      <c r="N198" s="880"/>
      <c r="O198" s="880"/>
      <c r="P198" s="880"/>
      <c r="Q198" s="880"/>
      <c r="R198" s="880"/>
      <c r="S198" s="877">
        <f t="shared" si="25"/>
        <v>0</v>
      </c>
      <c r="T198" s="878"/>
      <c r="U198" s="878"/>
      <c r="V198" s="878"/>
      <c r="W198" s="877">
        <f t="shared" si="26"/>
        <v>0</v>
      </c>
      <c r="X198" s="267">
        <f t="shared" si="31"/>
        <v>0</v>
      </c>
      <c r="Y198" s="267">
        <f t="shared" si="28"/>
        <v>0</v>
      </c>
      <c r="Z198" s="474"/>
      <c r="AA198" s="474"/>
      <c r="AB198" s="453" t="e">
        <f>F198/#REF!*100</f>
        <v>#REF!</v>
      </c>
    </row>
    <row r="199" spans="1:28" ht="34.15" customHeight="1">
      <c r="A199" s="2516" t="s">
        <v>155</v>
      </c>
      <c r="B199" s="2517" t="s">
        <v>882</v>
      </c>
      <c r="C199" s="2522"/>
      <c r="D199" s="1675"/>
      <c r="E199" s="2549">
        <v>204953</v>
      </c>
      <c r="F199" s="2521">
        <f t="shared" si="32"/>
        <v>204953</v>
      </c>
      <c r="G199" s="2522"/>
      <c r="H199" s="1675"/>
      <c r="I199" s="2549"/>
      <c r="J199" s="2521">
        <f t="shared" si="33"/>
        <v>0</v>
      </c>
      <c r="K199" s="2515">
        <f t="shared" ref="K199:K215" si="34">J199/F199*100</f>
        <v>0</v>
      </c>
      <c r="L199" s="880"/>
      <c r="M199" s="880"/>
      <c r="N199" s="880"/>
      <c r="O199" s="880"/>
      <c r="P199" s="880"/>
      <c r="Q199" s="880"/>
      <c r="R199" s="880"/>
      <c r="S199" s="877">
        <f t="shared" ref="S199:S215" si="35">C199+D199+E199-F199</f>
        <v>0</v>
      </c>
      <c r="T199" s="879"/>
      <c r="U199" s="879"/>
      <c r="V199" s="879"/>
      <c r="W199" s="877">
        <f t="shared" ref="W199:W215" si="36">C199+D199+E199-F199</f>
        <v>0</v>
      </c>
      <c r="X199" s="267">
        <f t="shared" si="31"/>
        <v>0</v>
      </c>
      <c r="Y199" s="267">
        <f t="shared" ref="Y199:Y214" si="37">X199-F199</f>
        <v>-204953</v>
      </c>
      <c r="Z199" s="475"/>
      <c r="AA199" s="475"/>
      <c r="AB199" s="453" t="e">
        <f>F199/#REF!*100</f>
        <v>#REF!</v>
      </c>
    </row>
    <row r="200" spans="1:28" ht="46.5" customHeight="1">
      <c r="A200" s="2516" t="s">
        <v>156</v>
      </c>
      <c r="B200" s="2517" t="s">
        <v>1064</v>
      </c>
      <c r="C200" s="2522"/>
      <c r="D200" s="1675"/>
      <c r="E200" s="2561">
        <v>3825871</v>
      </c>
      <c r="F200" s="2521">
        <f t="shared" si="32"/>
        <v>3825871</v>
      </c>
      <c r="G200" s="2522"/>
      <c r="H200" s="1675"/>
      <c r="I200" s="2561"/>
      <c r="J200" s="2521">
        <f t="shared" si="33"/>
        <v>0</v>
      </c>
      <c r="K200" s="2515">
        <f t="shared" si="34"/>
        <v>0</v>
      </c>
      <c r="L200" s="880"/>
      <c r="M200" s="880"/>
      <c r="N200" s="880"/>
      <c r="O200" s="880"/>
      <c r="P200" s="880"/>
      <c r="Q200" s="880"/>
      <c r="R200" s="880"/>
      <c r="S200" s="877">
        <f t="shared" si="35"/>
        <v>0</v>
      </c>
      <c r="T200" s="879"/>
      <c r="U200" s="879"/>
      <c r="V200" s="879"/>
      <c r="W200" s="877">
        <f t="shared" si="36"/>
        <v>0</v>
      </c>
      <c r="X200" s="267">
        <f t="shared" si="31"/>
        <v>0</v>
      </c>
      <c r="Y200" s="267">
        <f>'[2]PRIH REBALANS'!$AJ$242</f>
        <v>3825871</v>
      </c>
      <c r="Z200" s="475"/>
      <c r="AA200" s="475"/>
      <c r="AB200" s="453" t="e">
        <f>F200/#REF!*100</f>
        <v>#REF!</v>
      </c>
    </row>
    <row r="201" spans="1:28" ht="22.9" hidden="1" customHeight="1">
      <c r="A201" s="2516" t="s">
        <v>864</v>
      </c>
      <c r="B201" s="2517" t="s">
        <v>655</v>
      </c>
      <c r="C201" s="2522"/>
      <c r="D201" s="1675"/>
      <c r="E201" s="2565"/>
      <c r="F201" s="2521">
        <f t="shared" si="32"/>
        <v>0</v>
      </c>
      <c r="G201" s="2522"/>
      <c r="H201" s="1675"/>
      <c r="I201" s="2565"/>
      <c r="J201" s="2521">
        <f t="shared" si="33"/>
        <v>0</v>
      </c>
      <c r="K201" s="2515" t="e">
        <f t="shared" si="34"/>
        <v>#DIV/0!</v>
      </c>
      <c r="L201" s="880"/>
      <c r="M201" s="880"/>
      <c r="N201" s="880"/>
      <c r="O201" s="880"/>
      <c r="P201" s="880"/>
      <c r="Q201" s="880"/>
      <c r="R201" s="880"/>
      <c r="S201" s="877">
        <f t="shared" si="35"/>
        <v>0</v>
      </c>
      <c r="T201" s="878"/>
      <c r="U201" s="878"/>
      <c r="V201" s="878"/>
      <c r="W201" s="877">
        <f t="shared" si="36"/>
        <v>0</v>
      </c>
      <c r="X201" s="267">
        <f t="shared" si="31"/>
        <v>0</v>
      </c>
      <c r="Y201" s="267">
        <f t="shared" si="37"/>
        <v>0</v>
      </c>
      <c r="Z201" s="474"/>
      <c r="AA201" s="474"/>
      <c r="AB201" s="453" t="e">
        <f>F201/#REF!*100</f>
        <v>#REF!</v>
      </c>
    </row>
    <row r="202" spans="1:28" ht="22.9" hidden="1" customHeight="1">
      <c r="A202" s="2516" t="s">
        <v>865</v>
      </c>
      <c r="B202" s="2517" t="s">
        <v>655</v>
      </c>
      <c r="C202" s="2522"/>
      <c r="D202" s="1675"/>
      <c r="E202" s="2561"/>
      <c r="F202" s="2521">
        <f t="shared" si="32"/>
        <v>0</v>
      </c>
      <c r="G202" s="2522"/>
      <c r="H202" s="1675"/>
      <c r="I202" s="2561"/>
      <c r="J202" s="2521">
        <f t="shared" si="33"/>
        <v>0</v>
      </c>
      <c r="K202" s="2515" t="e">
        <f t="shared" si="34"/>
        <v>#DIV/0!</v>
      </c>
      <c r="L202" s="880"/>
      <c r="M202" s="880"/>
      <c r="N202" s="880"/>
      <c r="O202" s="880"/>
      <c r="P202" s="880"/>
      <c r="Q202" s="880"/>
      <c r="R202" s="880"/>
      <c r="S202" s="877">
        <f t="shared" si="35"/>
        <v>0</v>
      </c>
      <c r="T202" s="878"/>
      <c r="U202" s="878"/>
      <c r="V202" s="878"/>
      <c r="W202" s="877">
        <f t="shared" si="36"/>
        <v>0</v>
      </c>
      <c r="X202" s="267">
        <f t="shared" si="31"/>
        <v>0</v>
      </c>
      <c r="Y202" s="267">
        <f t="shared" si="37"/>
        <v>0</v>
      </c>
      <c r="Z202" s="474"/>
      <c r="AA202" s="474"/>
      <c r="AB202" s="453" t="e">
        <f>F202/#REF!*100</f>
        <v>#REF!</v>
      </c>
    </row>
    <row r="203" spans="1:28" ht="22.9" hidden="1" customHeight="1">
      <c r="A203" s="2516" t="s">
        <v>866</v>
      </c>
      <c r="B203" s="2517" t="s">
        <v>655</v>
      </c>
      <c r="C203" s="2522"/>
      <c r="D203" s="1675"/>
      <c r="E203" s="2561"/>
      <c r="F203" s="2521">
        <f t="shared" si="32"/>
        <v>0</v>
      </c>
      <c r="G203" s="2522"/>
      <c r="H203" s="1675"/>
      <c r="I203" s="2561"/>
      <c r="J203" s="2521">
        <f t="shared" si="33"/>
        <v>0</v>
      </c>
      <c r="K203" s="2515" t="e">
        <f t="shared" si="34"/>
        <v>#DIV/0!</v>
      </c>
      <c r="L203" s="880"/>
      <c r="M203" s="880"/>
      <c r="N203" s="880"/>
      <c r="O203" s="880"/>
      <c r="P203" s="880"/>
      <c r="Q203" s="880"/>
      <c r="R203" s="880"/>
      <c r="S203" s="877">
        <f t="shared" si="35"/>
        <v>0</v>
      </c>
      <c r="T203" s="878"/>
      <c r="U203" s="878"/>
      <c r="V203" s="878"/>
      <c r="W203" s="877">
        <f t="shared" si="36"/>
        <v>0</v>
      </c>
      <c r="X203" s="267">
        <f t="shared" si="31"/>
        <v>0</v>
      </c>
      <c r="Y203" s="267">
        <f t="shared" si="37"/>
        <v>0</v>
      </c>
      <c r="Z203" s="474"/>
      <c r="AA203" s="474"/>
      <c r="AB203" s="453" t="e">
        <f>F203/#REF!*100</f>
        <v>#REF!</v>
      </c>
    </row>
    <row r="204" spans="1:28" ht="22.9" hidden="1" customHeight="1">
      <c r="A204" s="2516" t="s">
        <v>867</v>
      </c>
      <c r="B204" s="2517" t="s">
        <v>655</v>
      </c>
      <c r="C204" s="2522"/>
      <c r="D204" s="1675"/>
      <c r="E204" s="2561"/>
      <c r="F204" s="2521">
        <f t="shared" si="32"/>
        <v>0</v>
      </c>
      <c r="G204" s="2522"/>
      <c r="H204" s="1675"/>
      <c r="I204" s="2561"/>
      <c r="J204" s="2521">
        <f t="shared" si="33"/>
        <v>0</v>
      </c>
      <c r="K204" s="2515" t="e">
        <f t="shared" si="34"/>
        <v>#DIV/0!</v>
      </c>
      <c r="L204" s="880"/>
      <c r="M204" s="880"/>
      <c r="N204" s="880"/>
      <c r="O204" s="880"/>
      <c r="P204" s="880"/>
      <c r="Q204" s="880"/>
      <c r="R204" s="880"/>
      <c r="S204" s="877">
        <f t="shared" si="35"/>
        <v>0</v>
      </c>
      <c r="T204" s="878"/>
      <c r="U204" s="878"/>
      <c r="V204" s="878"/>
      <c r="W204" s="877">
        <f t="shared" si="36"/>
        <v>0</v>
      </c>
      <c r="X204" s="267">
        <f t="shared" si="31"/>
        <v>0</v>
      </c>
      <c r="Y204" s="267">
        <f t="shared" si="37"/>
        <v>0</v>
      </c>
      <c r="Z204" s="474"/>
      <c r="AA204" s="474"/>
      <c r="AB204" s="453" t="e">
        <f>F204/#REF!*100</f>
        <v>#REF!</v>
      </c>
    </row>
    <row r="205" spans="1:28" ht="22.9" hidden="1" customHeight="1">
      <c r="A205" s="2516" t="s">
        <v>868</v>
      </c>
      <c r="B205" s="2517" t="s">
        <v>655</v>
      </c>
      <c r="C205" s="2522"/>
      <c r="D205" s="1675"/>
      <c r="E205" s="2561"/>
      <c r="F205" s="2521">
        <f t="shared" si="32"/>
        <v>0</v>
      </c>
      <c r="G205" s="2522"/>
      <c r="H205" s="1675"/>
      <c r="I205" s="2561"/>
      <c r="J205" s="2521">
        <f t="shared" si="33"/>
        <v>0</v>
      </c>
      <c r="K205" s="2515" t="e">
        <f t="shared" si="34"/>
        <v>#DIV/0!</v>
      </c>
      <c r="L205" s="880"/>
      <c r="M205" s="880"/>
      <c r="N205" s="880"/>
      <c r="O205" s="880"/>
      <c r="P205" s="880"/>
      <c r="Q205" s="880"/>
      <c r="R205" s="880"/>
      <c r="S205" s="877">
        <f t="shared" si="35"/>
        <v>0</v>
      </c>
      <c r="T205" s="878"/>
      <c r="U205" s="878"/>
      <c r="V205" s="878"/>
      <c r="W205" s="877">
        <f t="shared" si="36"/>
        <v>0</v>
      </c>
      <c r="X205" s="267">
        <f t="shared" si="31"/>
        <v>0</v>
      </c>
      <c r="Y205" s="267">
        <f t="shared" si="37"/>
        <v>0</v>
      </c>
      <c r="Z205" s="474"/>
      <c r="AA205" s="474"/>
      <c r="AB205" s="453" t="e">
        <f>F205/#REF!*100</f>
        <v>#REF!</v>
      </c>
    </row>
    <row r="206" spans="1:28" ht="30.75" hidden="1" customHeight="1">
      <c r="A206" s="2516" t="s">
        <v>869</v>
      </c>
      <c r="B206" s="2517" t="s">
        <v>655</v>
      </c>
      <c r="C206" s="2522"/>
      <c r="D206" s="1675"/>
      <c r="E206" s="2549"/>
      <c r="F206" s="2521">
        <f t="shared" si="32"/>
        <v>0</v>
      </c>
      <c r="G206" s="2522"/>
      <c r="H206" s="1675"/>
      <c r="I206" s="2549"/>
      <c r="J206" s="2521">
        <f t="shared" si="33"/>
        <v>0</v>
      </c>
      <c r="K206" s="2515" t="e">
        <f t="shared" si="34"/>
        <v>#DIV/0!</v>
      </c>
      <c r="L206" s="880"/>
      <c r="M206" s="880"/>
      <c r="N206" s="880"/>
      <c r="O206" s="880"/>
      <c r="P206" s="880"/>
      <c r="Q206" s="880"/>
      <c r="R206" s="880"/>
      <c r="S206" s="877">
        <f t="shared" si="35"/>
        <v>0</v>
      </c>
      <c r="T206" s="878"/>
      <c r="U206" s="878"/>
      <c r="V206" s="878"/>
      <c r="W206" s="877">
        <f t="shared" si="36"/>
        <v>0</v>
      </c>
      <c r="X206" s="267">
        <f t="shared" si="31"/>
        <v>0</v>
      </c>
      <c r="Y206" s="267">
        <f t="shared" si="37"/>
        <v>0</v>
      </c>
      <c r="Z206" s="474"/>
      <c r="AA206" s="474"/>
      <c r="AB206" s="453" t="e">
        <f>F206/#REF!*100</f>
        <v>#REF!</v>
      </c>
    </row>
    <row r="207" spans="1:28" ht="30.75" customHeight="1">
      <c r="A207" s="2516" t="s">
        <v>156</v>
      </c>
      <c r="B207" s="2517" t="s">
        <v>1065</v>
      </c>
      <c r="C207" s="2522"/>
      <c r="D207" s="1675"/>
      <c r="E207" s="2549">
        <v>558373</v>
      </c>
      <c r="F207" s="2521">
        <f t="shared" si="32"/>
        <v>558373</v>
      </c>
      <c r="G207" s="2522"/>
      <c r="H207" s="1675"/>
      <c r="I207" s="2549"/>
      <c r="J207" s="2521">
        <f t="shared" si="33"/>
        <v>0</v>
      </c>
      <c r="K207" s="2515">
        <f t="shared" si="34"/>
        <v>0</v>
      </c>
      <c r="L207" s="880"/>
      <c r="M207" s="880"/>
      <c r="N207" s="880"/>
      <c r="O207" s="880"/>
      <c r="P207" s="880"/>
      <c r="Q207" s="880"/>
      <c r="R207" s="880"/>
      <c r="S207" s="877">
        <f t="shared" si="35"/>
        <v>0</v>
      </c>
      <c r="T207" s="879"/>
      <c r="U207" s="879"/>
      <c r="V207" s="879"/>
      <c r="W207" s="877">
        <f t="shared" si="36"/>
        <v>0</v>
      </c>
      <c r="X207" s="267">
        <f t="shared" si="31"/>
        <v>0</v>
      </c>
      <c r="Y207" s="267">
        <f>'[2]PRIH REBALANS'!$AJ$246</f>
        <v>558373</v>
      </c>
      <c r="Z207" s="475"/>
      <c r="AA207" s="475"/>
      <c r="AB207" s="453" t="e">
        <f>F207/#REF!*100</f>
        <v>#REF!</v>
      </c>
    </row>
    <row r="208" spans="1:28" ht="30.75" customHeight="1">
      <c r="A208" s="2516" t="s">
        <v>156</v>
      </c>
      <c r="B208" s="2517" t="s">
        <v>883</v>
      </c>
      <c r="C208" s="2522"/>
      <c r="D208" s="1675"/>
      <c r="E208" s="2549">
        <v>2342841</v>
      </c>
      <c r="F208" s="2521">
        <f t="shared" si="32"/>
        <v>2342841</v>
      </c>
      <c r="G208" s="2522"/>
      <c r="H208" s="1675"/>
      <c r="I208" s="2549"/>
      <c r="J208" s="2521">
        <f t="shared" si="33"/>
        <v>0</v>
      </c>
      <c r="K208" s="2515">
        <f t="shared" si="34"/>
        <v>0</v>
      </c>
      <c r="L208" s="880"/>
      <c r="M208" s="880"/>
      <c r="N208" s="880"/>
      <c r="O208" s="880"/>
      <c r="P208" s="880"/>
      <c r="Q208" s="880"/>
      <c r="R208" s="880"/>
      <c r="S208" s="877">
        <f t="shared" si="35"/>
        <v>0</v>
      </c>
      <c r="T208" s="879"/>
      <c r="U208" s="879"/>
      <c r="V208" s="879"/>
      <c r="W208" s="877">
        <f t="shared" si="36"/>
        <v>0</v>
      </c>
      <c r="X208" s="267">
        <f t="shared" si="31"/>
        <v>0</v>
      </c>
      <c r="Y208" s="267">
        <f t="shared" si="37"/>
        <v>-2342841</v>
      </c>
      <c r="Z208" s="475"/>
      <c r="AA208" s="475"/>
      <c r="AB208" s="453" t="e">
        <f>F208/#REF!*100</f>
        <v>#REF!</v>
      </c>
    </row>
    <row r="209" spans="1:28" ht="45" customHeight="1">
      <c r="A209" s="2566" t="s">
        <v>1069</v>
      </c>
      <c r="B209" s="2567" t="s">
        <v>1220</v>
      </c>
      <c r="C209" s="2522"/>
      <c r="D209" s="1675"/>
      <c r="E209" s="2549">
        <v>100000</v>
      </c>
      <c r="F209" s="2521">
        <f t="shared" si="32"/>
        <v>100000</v>
      </c>
      <c r="G209" s="2522"/>
      <c r="H209" s="1675"/>
      <c r="I209" s="2549"/>
      <c r="J209" s="2521">
        <f t="shared" si="33"/>
        <v>0</v>
      </c>
      <c r="K209" s="2515">
        <f t="shared" si="34"/>
        <v>0</v>
      </c>
      <c r="L209" s="880"/>
      <c r="M209" s="880"/>
      <c r="N209" s="880"/>
      <c r="O209" s="880"/>
      <c r="P209" s="880"/>
      <c r="Q209" s="880"/>
      <c r="R209" s="880"/>
      <c r="S209" s="877">
        <f t="shared" si="35"/>
        <v>0</v>
      </c>
      <c r="T209" s="879"/>
      <c r="U209" s="879"/>
      <c r="V209" s="879"/>
      <c r="W209" s="877">
        <f t="shared" si="36"/>
        <v>0</v>
      </c>
      <c r="X209" s="267">
        <f t="shared" si="31"/>
        <v>0</v>
      </c>
      <c r="Y209" s="267">
        <f t="shared" si="37"/>
        <v>-100000</v>
      </c>
      <c r="Z209" s="475"/>
      <c r="AA209" s="475"/>
      <c r="AB209" s="453" t="e">
        <f>F209/#REF!*100</f>
        <v>#REF!</v>
      </c>
    </row>
    <row r="210" spans="1:28" s="289" customFormat="1" ht="30.75" customHeight="1">
      <c r="A210" s="2568"/>
      <c r="B210" s="2569" t="s">
        <v>797</v>
      </c>
      <c r="C210" s="2570"/>
      <c r="D210" s="2571">
        <v>224591</v>
      </c>
      <c r="E210" s="2572"/>
      <c r="F210" s="2507">
        <f>C210+D210+E210</f>
        <v>224591</v>
      </c>
      <c r="G210" s="2570"/>
      <c r="H210" s="2571"/>
      <c r="I210" s="2573"/>
      <c r="J210" s="2507">
        <f>G210+H210+I210</f>
        <v>0</v>
      </c>
      <c r="K210" s="2508">
        <f t="shared" si="34"/>
        <v>0</v>
      </c>
      <c r="L210" s="877"/>
      <c r="M210" s="877"/>
      <c r="N210" s="877"/>
      <c r="O210" s="877"/>
      <c r="P210" s="877"/>
      <c r="Q210" s="877"/>
      <c r="R210" s="877"/>
      <c r="S210" s="877">
        <f t="shared" si="35"/>
        <v>0</v>
      </c>
      <c r="T210" s="877"/>
      <c r="U210" s="877"/>
      <c r="V210" s="877"/>
      <c r="W210" s="877">
        <f t="shared" si="36"/>
        <v>0</v>
      </c>
      <c r="X210" s="267">
        <f t="shared" si="31"/>
        <v>0</v>
      </c>
      <c r="Y210" s="267">
        <f t="shared" si="37"/>
        <v>-224591</v>
      </c>
      <c r="Z210" s="267"/>
      <c r="AA210" s="267"/>
      <c r="AB210" s="453" t="e">
        <f>F210/#REF!*100</f>
        <v>#REF!</v>
      </c>
    </row>
    <row r="211" spans="1:28" s="289" customFormat="1" ht="33.75" customHeight="1" thickBot="1">
      <c r="A211" s="2574"/>
      <c r="B211" s="2575" t="s">
        <v>1495</v>
      </c>
      <c r="C211" s="2504">
        <f>SUM(C6,C37,C210)</f>
        <v>50927810</v>
      </c>
      <c r="D211" s="2505">
        <f>SUM(D6,D37,)-D31-D40-D52-D60-D68-D77-D86-D96-D105-D123-D146-D153-D160-D174-D171</f>
        <v>18471868.000000004</v>
      </c>
      <c r="E211" s="2576">
        <f>SUM(E177,E194)-E179-E190-E193-E199-E208-E209</f>
        <v>6636340</v>
      </c>
      <c r="F211" s="2507">
        <f>SUM(F6+F37+F177+F194)-F209-F208-F199-F193-F190-F179-F174-F160-F153-F146-F123-F105-F96-F86-F77-F68-F60-F52-F40-F31-F171</f>
        <v>76036018.000000015</v>
      </c>
      <c r="G211" s="2504">
        <f>SUM(G6,G37,G210,G175)</f>
        <v>45488110</v>
      </c>
      <c r="H211" s="2505">
        <f>SUM(H6,H37,)-H31-H40-H52-H60-H68-H77-H86-H96-H105-H123-H146-H153-H160-H174-H171</f>
        <v>13789967</v>
      </c>
      <c r="I211" s="2506">
        <f>SUM(I177,I194)-I179-I190-I193-I199-I208-I209</f>
        <v>1772311</v>
      </c>
      <c r="J211" s="2507">
        <f>SUM(J6+J37+J177+J194)-J209-J208-J199-J193-J190-J179-J174-J160-J153-J146-J123-J105-J96-J86-J77-J68-J60-J52-J40-J31-J171</f>
        <v>61050388</v>
      </c>
      <c r="K211" s="2508">
        <f t="shared" si="34"/>
        <v>80.291406107037318</v>
      </c>
      <c r="L211" s="877">
        <f>SUM(G211:I211)</f>
        <v>61050388</v>
      </c>
      <c r="M211" s="877"/>
      <c r="N211" s="877"/>
      <c r="O211" s="877"/>
      <c r="P211" s="877"/>
      <c r="Q211" s="877"/>
      <c r="R211" s="877"/>
      <c r="S211" s="877">
        <f t="shared" si="35"/>
        <v>0</v>
      </c>
      <c r="T211" s="877">
        <f>'[3]PRIH REBALANS'!$AG$249+'[3]PRIH REBALANS'!$AH$249+'[3]PRIH REBALANS'!$AJ$249</f>
        <v>76036017.599999994</v>
      </c>
      <c r="U211" s="877"/>
      <c r="V211" s="877"/>
      <c r="W211" s="877">
        <f t="shared" si="36"/>
        <v>0</v>
      </c>
      <c r="X211" s="267">
        <f>C211+D211+E211-F211</f>
        <v>0</v>
      </c>
      <c r="Y211" s="267">
        <f t="shared" si="37"/>
        <v>-76036018.000000015</v>
      </c>
      <c r="Z211" s="267"/>
      <c r="AA211" s="267"/>
      <c r="AB211" s="453" t="e">
        <f>F211/#REF!*100</f>
        <v>#REF!</v>
      </c>
    </row>
    <row r="212" spans="1:28" ht="29.25" hidden="1" customHeight="1" thickBot="1">
      <c r="A212" s="2577"/>
      <c r="B212" s="2569" t="s">
        <v>158</v>
      </c>
      <c r="C212" s="2578"/>
      <c r="D212" s="2579"/>
      <c r="E212" s="2580"/>
      <c r="F212" s="2581"/>
      <c r="G212" s="2578"/>
      <c r="H212" s="2579"/>
      <c r="I212" s="2582"/>
      <c r="J212" s="2581"/>
      <c r="K212" s="2508" t="e">
        <f t="shared" si="34"/>
        <v>#DIV/0!</v>
      </c>
      <c r="L212" s="883"/>
      <c r="M212" s="883"/>
      <c r="N212" s="883"/>
      <c r="O212" s="883"/>
      <c r="P212" s="883"/>
      <c r="Q212" s="883"/>
      <c r="R212" s="883"/>
      <c r="S212" s="877">
        <f t="shared" si="35"/>
        <v>0</v>
      </c>
      <c r="T212" s="883"/>
      <c r="U212" s="883"/>
      <c r="V212" s="883"/>
      <c r="W212" s="877">
        <f t="shared" si="36"/>
        <v>0</v>
      </c>
      <c r="X212" s="295"/>
      <c r="Y212" s="267">
        <f t="shared" si="37"/>
        <v>0</v>
      </c>
      <c r="Z212" s="295"/>
      <c r="AA212" s="295"/>
      <c r="AB212" s="451"/>
    </row>
    <row r="213" spans="1:28" ht="29.25" hidden="1" customHeight="1" thickTop="1">
      <c r="A213" s="2583"/>
      <c r="B213" s="2569" t="s">
        <v>654</v>
      </c>
      <c r="C213" s="2584"/>
      <c r="D213" s="2579"/>
      <c r="E213" s="2580"/>
      <c r="F213" s="2581"/>
      <c r="G213" s="2584"/>
      <c r="H213" s="2579"/>
      <c r="I213" s="2582"/>
      <c r="J213" s="2581"/>
      <c r="K213" s="2508" t="e">
        <f t="shared" si="34"/>
        <v>#DIV/0!</v>
      </c>
      <c r="L213" s="883"/>
      <c r="M213" s="883"/>
      <c r="N213" s="883"/>
      <c r="O213" s="883"/>
      <c r="P213" s="883"/>
      <c r="Q213" s="883"/>
      <c r="R213" s="883"/>
      <c r="S213" s="877">
        <f t="shared" si="35"/>
        <v>0</v>
      </c>
      <c r="T213" s="883"/>
      <c r="U213" s="883"/>
      <c r="V213" s="883"/>
      <c r="W213" s="877">
        <f t="shared" si="36"/>
        <v>0</v>
      </c>
      <c r="X213" s="295"/>
      <c r="Y213" s="267">
        <f t="shared" si="37"/>
        <v>0</v>
      </c>
      <c r="Z213" s="295"/>
      <c r="AA213" s="295"/>
      <c r="AB213" s="451"/>
    </row>
    <row r="214" spans="1:28" ht="20.25" thickTop="1">
      <c r="A214" s="2585"/>
      <c r="B214" s="2586" t="s">
        <v>1496</v>
      </c>
      <c r="C214" s="2587"/>
      <c r="D214" s="2579">
        <f>D174+D160+D153+D146+D123+D105+D96+D86+D77+D68+D60+D52+D40+D31+D210+D171</f>
        <v>17607099.890000001</v>
      </c>
      <c r="E214" s="2588">
        <f>E179+E190+E193+E199+E208+E209</f>
        <v>3182598</v>
      </c>
      <c r="F214" s="2589">
        <f>D214+E214</f>
        <v>20789697.890000001</v>
      </c>
      <c r="G214" s="2587"/>
      <c r="H214" s="2579"/>
      <c r="I214" s="2590"/>
      <c r="J214" s="2589"/>
      <c r="K214" s="2508"/>
      <c r="L214" s="884"/>
      <c r="M214" s="884"/>
      <c r="N214" s="884"/>
      <c r="O214" s="884"/>
      <c r="P214" s="884"/>
      <c r="Q214" s="884"/>
      <c r="R214" s="884"/>
      <c r="S214" s="877">
        <f t="shared" si="35"/>
        <v>0</v>
      </c>
      <c r="T214" s="884"/>
      <c r="U214" s="884"/>
      <c r="V214" s="884"/>
      <c r="W214" s="877">
        <f t="shared" si="36"/>
        <v>0</v>
      </c>
      <c r="X214" s="296">
        <f>'[2]PRIH REBALANS'!$AI$249</f>
        <v>20789696.879999999</v>
      </c>
      <c r="Y214" s="267">
        <f t="shared" si="37"/>
        <v>-1.0100000016391277</v>
      </c>
      <c r="Z214" s="295"/>
      <c r="AA214" s="295"/>
      <c r="AB214" s="451"/>
    </row>
    <row r="215" spans="1:28" ht="39.75" thickBot="1">
      <c r="A215" s="2591"/>
      <c r="B215" s="2592" t="s">
        <v>1497</v>
      </c>
      <c r="C215" s="2593">
        <f>C211+C214</f>
        <v>50927810</v>
      </c>
      <c r="D215" s="2594">
        <f>D211+D214</f>
        <v>36078967.890000001</v>
      </c>
      <c r="E215" s="2595">
        <f t="shared" ref="E215" si="38">E211+E214</f>
        <v>9818938</v>
      </c>
      <c r="F215" s="2596">
        <f>F211+F214</f>
        <v>96825715.890000015</v>
      </c>
      <c r="G215" s="2597"/>
      <c r="H215" s="2598"/>
      <c r="I215" s="2599"/>
      <c r="J215" s="2600"/>
      <c r="K215" s="2601">
        <f t="shared" si="34"/>
        <v>0</v>
      </c>
      <c r="L215" s="884"/>
      <c r="M215" s="884"/>
      <c r="N215" s="884"/>
      <c r="O215" s="884"/>
      <c r="P215" s="884"/>
      <c r="Q215" s="884"/>
      <c r="R215" s="884"/>
      <c r="S215" s="877">
        <f t="shared" si="35"/>
        <v>0</v>
      </c>
      <c r="T215" s="992">
        <f>'[3]PRIH REBALANS'!$AK$249</f>
        <v>96825714.480000004</v>
      </c>
      <c r="U215" s="884"/>
      <c r="V215" s="884"/>
      <c r="W215" s="877">
        <f t="shared" si="36"/>
        <v>0</v>
      </c>
      <c r="X215" s="296">
        <f>'[2]PRIH REBALANS'!$AK$249</f>
        <v>96729714.480000004</v>
      </c>
      <c r="Y215" s="267">
        <f>X215-F215</f>
        <v>-96001.410000011325</v>
      </c>
      <c r="Z215" s="295"/>
      <c r="AA215" s="295"/>
      <c r="AB215" s="451"/>
    </row>
    <row r="216" spans="1:28" ht="20.25" thickTop="1">
      <c r="B216" s="2603" t="s">
        <v>1527</v>
      </c>
      <c r="C216" s="274">
        <f>'[3]PRIH REBALANS'!$AG$249</f>
        <v>50927809.600000001</v>
      </c>
      <c r="D216" s="274">
        <f>'[3]PRIH REBALANS'!$AI$55+'[3]PRIH REBALANS'!$AI$85+'[3]PRIH REBALANS'!$AI$248</f>
        <v>17607099.609999999</v>
      </c>
      <c r="E216" s="274">
        <f>'[3]PRIH REBALANS'!$AI$222+'[3]PRIH REBALANS'!$AI$236</f>
        <v>3182597.27</v>
      </c>
      <c r="F216" s="274"/>
      <c r="G216" s="274">
        <f>'prihodi posebni dio'!W155</f>
        <v>45488110</v>
      </c>
      <c r="H216" s="274">
        <f>'prihodi posebni dio'!X155</f>
        <v>13789967</v>
      </c>
      <c r="I216" s="274">
        <f>'prihodi posebni dio'!Y155</f>
        <v>1772311</v>
      </c>
      <c r="J216" s="274">
        <f>'prihodi posebni dio'!Z155</f>
        <v>61050388</v>
      </c>
    </row>
    <row r="217" spans="1:28">
      <c r="B217" s="2603" t="s">
        <v>1343</v>
      </c>
      <c r="C217" s="274">
        <f>C215</f>
        <v>50927810</v>
      </c>
      <c r="D217" s="274">
        <f>D214-D216</f>
        <v>0.2800000011920929</v>
      </c>
      <c r="E217" s="274">
        <f>E214-E216</f>
        <v>0.72999999998137355</v>
      </c>
      <c r="F217" s="274"/>
      <c r="G217" s="274">
        <f>'[1]PRIH REBALANS'!$AG$229</f>
        <v>45488110</v>
      </c>
      <c r="H217" s="274">
        <f>'[1]PRIH REBALANS'!$AH$229</f>
        <v>13789967</v>
      </c>
      <c r="I217" s="274">
        <f>'[1]PRIH REBALANS'!$AJ$229</f>
        <v>1772311</v>
      </c>
      <c r="J217" s="274">
        <f>'[1]PRIH REBALANS'!$AK$229</f>
        <v>61050388</v>
      </c>
    </row>
    <row r="218" spans="1:28">
      <c r="B218" s="2603" t="s">
        <v>606</v>
      </c>
      <c r="C218" s="274"/>
      <c r="D218" s="274"/>
      <c r="E218" s="274"/>
      <c r="F218" s="274"/>
      <c r="G218" s="274"/>
      <c r="H218" s="274"/>
      <c r="I218" s="274"/>
      <c r="J218" s="274"/>
    </row>
  </sheetData>
  <mergeCells count="8">
    <mergeCell ref="A1:K1"/>
    <mergeCell ref="AB3:AB4"/>
    <mergeCell ref="C3:F3"/>
    <mergeCell ref="K3:K4"/>
    <mergeCell ref="A2:B2"/>
    <mergeCell ref="A3:A4"/>
    <mergeCell ref="B3:B4"/>
    <mergeCell ref="G3:J3"/>
  </mergeCells>
  <phoneticPr fontId="34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52" orientation="landscape" r:id="rId1"/>
  <headerFooter>
    <oddFooter>&amp;L&amp;"Times New Roman,Uobičajeno"&amp;14&amp;K00-028Budžet Grada Mostara za 2022.g.- Prihodii i primici opšti dio&amp;C&amp;"Times New Roman,Uobičajeno"&amp;16&amp;P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4"/>
  <dimension ref="A1:M63"/>
  <sheetViews>
    <sheetView view="pageBreakPreview" topLeftCell="A28" zoomScaleSheetLayoutView="100" workbookViewId="0">
      <selection activeCell="G58" sqref="G58:H62"/>
    </sheetView>
  </sheetViews>
  <sheetFormatPr defaultRowHeight="15.75"/>
  <cols>
    <col min="1" max="2" width="9.28515625" style="323" bestFit="1" customWidth="1"/>
    <col min="3" max="3" width="38.42578125" style="323" customWidth="1"/>
    <col min="4" max="5" width="14" style="503" customWidth="1"/>
    <col min="6" max="9" width="14" style="323" customWidth="1"/>
    <col min="10" max="11" width="11.42578125" style="323" customWidth="1"/>
    <col min="12" max="12" width="11.42578125" customWidth="1"/>
  </cols>
  <sheetData>
    <row r="1" spans="1:13" ht="35.25" customHeight="1" thickBot="1">
      <c r="C1" s="481" t="s">
        <v>616</v>
      </c>
      <c r="E1" s="530" t="s">
        <v>1346</v>
      </c>
    </row>
    <row r="2" spans="1:13" ht="123.75" customHeight="1" thickTop="1">
      <c r="A2" s="3330" t="s">
        <v>1226</v>
      </c>
      <c r="B2" s="3331"/>
      <c r="C2" s="3332"/>
      <c r="D2" s="547" t="s">
        <v>1343</v>
      </c>
      <c r="E2" s="532" t="s">
        <v>1344</v>
      </c>
      <c r="F2" s="525" t="s">
        <v>1345</v>
      </c>
      <c r="G2" s="547" t="s">
        <v>1343</v>
      </c>
      <c r="H2" s="532" t="s">
        <v>1344</v>
      </c>
      <c r="I2" s="525" t="s">
        <v>1345</v>
      </c>
      <c r="J2" s="515"/>
      <c r="K2" s="515"/>
    </row>
    <row r="3" spans="1:13" s="341" customFormat="1" ht="31.5">
      <c r="A3" s="512"/>
      <c r="B3" s="513"/>
      <c r="C3" s="514" t="s">
        <v>616</v>
      </c>
      <c r="D3" s="533">
        <f t="shared" ref="D3:K3" si="0">SUM(D4,D13,D21,D28,D35,D42,D50,D57)</f>
        <v>4785540.4800000004</v>
      </c>
      <c r="E3" s="534">
        <f t="shared" si="0"/>
        <v>6220218</v>
      </c>
      <c r="F3" s="526">
        <f t="shared" si="0"/>
        <v>11005758.48</v>
      </c>
      <c r="G3" s="533">
        <f t="shared" si="0"/>
        <v>0</v>
      </c>
      <c r="H3" s="534">
        <f t="shared" si="0"/>
        <v>0</v>
      </c>
      <c r="I3" s="526">
        <f t="shared" si="0"/>
        <v>0</v>
      </c>
      <c r="J3" s="516">
        <f t="shared" si="0"/>
        <v>4785540.4800000004</v>
      </c>
      <c r="K3" s="516">
        <f t="shared" si="0"/>
        <v>6220218</v>
      </c>
      <c r="L3" s="348">
        <f>J3+K3</f>
        <v>11005758.48</v>
      </c>
      <c r="M3" s="348">
        <f t="shared" ref="M3:M19" si="1">D3+E3-F3</f>
        <v>0</v>
      </c>
    </row>
    <row r="4" spans="1:13" s="341" customFormat="1" ht="27" customHeight="1">
      <c r="A4" s="552">
        <v>223</v>
      </c>
      <c r="B4" s="553"/>
      <c r="C4" s="519" t="s">
        <v>617</v>
      </c>
      <c r="D4" s="535">
        <f t="shared" ref="D4:F4" si="2">SUM(D5:D12)</f>
        <v>368971</v>
      </c>
      <c r="E4" s="536">
        <f t="shared" si="2"/>
        <v>572770</v>
      </c>
      <c r="F4" s="527">
        <f t="shared" si="2"/>
        <v>941741</v>
      </c>
      <c r="G4" s="535">
        <f t="shared" ref="G4:I4" si="3">SUM(G5:G12)</f>
        <v>0</v>
      </c>
      <c r="H4" s="536">
        <f t="shared" si="3"/>
        <v>0</v>
      </c>
      <c r="I4" s="527">
        <f t="shared" si="3"/>
        <v>0</v>
      </c>
      <c r="J4" s="517">
        <f>SUM(D5:D12)</f>
        <v>368971</v>
      </c>
      <c r="K4" s="517">
        <f>SUM(E5:E12)</f>
        <v>572770</v>
      </c>
      <c r="L4" s="348">
        <f t="shared" ref="L4:L56" si="4">J4+K4</f>
        <v>941741</v>
      </c>
      <c r="M4" s="348">
        <f t="shared" si="1"/>
        <v>0</v>
      </c>
    </row>
    <row r="5" spans="1:13" ht="27" customHeight="1">
      <c r="A5" s="554"/>
      <c r="B5" s="555">
        <v>721211</v>
      </c>
      <c r="C5" s="520" t="s">
        <v>90</v>
      </c>
      <c r="D5" s="537"/>
      <c r="E5" s="538">
        <v>70</v>
      </c>
      <c r="F5" s="528">
        <f t="shared" ref="F5:F12" si="5">E5+D5</f>
        <v>70</v>
      </c>
      <c r="G5" s="537"/>
      <c r="H5" s="538"/>
      <c r="I5" s="528">
        <f t="shared" ref="I5:I12" si="6">H5+G5</f>
        <v>0</v>
      </c>
      <c r="J5" s="518"/>
      <c r="K5" s="518"/>
      <c r="L5" s="348">
        <f t="shared" si="4"/>
        <v>0</v>
      </c>
      <c r="M5" s="348">
        <f t="shared" si="1"/>
        <v>0</v>
      </c>
    </row>
    <row r="6" spans="1:13" ht="27" customHeight="1">
      <c r="A6" s="554"/>
      <c r="B6" s="556">
        <v>722431</v>
      </c>
      <c r="C6" s="520" t="s">
        <v>91</v>
      </c>
      <c r="D6" s="537"/>
      <c r="E6" s="538">
        <v>200700</v>
      </c>
      <c r="F6" s="528">
        <f t="shared" si="5"/>
        <v>200700</v>
      </c>
      <c r="G6" s="537"/>
      <c r="H6" s="538"/>
      <c r="I6" s="528">
        <f t="shared" si="6"/>
        <v>0</v>
      </c>
      <c r="J6" s="518"/>
      <c r="K6" s="518"/>
      <c r="L6" s="348">
        <f t="shared" si="4"/>
        <v>0</v>
      </c>
      <c r="M6" s="348">
        <f t="shared" si="1"/>
        <v>0</v>
      </c>
    </row>
    <row r="7" spans="1:13" ht="27" customHeight="1">
      <c r="A7" s="554"/>
      <c r="B7" s="556">
        <v>722431</v>
      </c>
      <c r="C7" s="520" t="s">
        <v>1087</v>
      </c>
      <c r="D7" s="537">
        <v>1140</v>
      </c>
      <c r="E7" s="538"/>
      <c r="F7" s="528">
        <f t="shared" si="5"/>
        <v>1140</v>
      </c>
      <c r="G7" s="537"/>
      <c r="H7" s="538"/>
      <c r="I7" s="528">
        <f t="shared" si="6"/>
        <v>0</v>
      </c>
      <c r="J7" s="518"/>
      <c r="K7" s="518"/>
      <c r="L7" s="348">
        <f t="shared" si="4"/>
        <v>0</v>
      </c>
      <c r="M7" s="348">
        <f t="shared" si="1"/>
        <v>0</v>
      </c>
    </row>
    <row r="8" spans="1:13" ht="27" customHeight="1">
      <c r="A8" s="554"/>
      <c r="B8" s="557">
        <v>722433</v>
      </c>
      <c r="C8" s="520" t="s">
        <v>92</v>
      </c>
      <c r="D8" s="537"/>
      <c r="E8" s="538">
        <v>10000</v>
      </c>
      <c r="F8" s="528">
        <f t="shared" si="5"/>
        <v>10000</v>
      </c>
      <c r="G8" s="537"/>
      <c r="H8" s="538"/>
      <c r="I8" s="528">
        <f t="shared" si="6"/>
        <v>0</v>
      </c>
      <c r="J8" s="518"/>
      <c r="K8" s="518"/>
      <c r="L8" s="348">
        <f t="shared" si="4"/>
        <v>0</v>
      </c>
      <c r="M8" s="348">
        <f t="shared" si="1"/>
        <v>0</v>
      </c>
    </row>
    <row r="9" spans="1:13" ht="27" customHeight="1">
      <c r="A9" s="554"/>
      <c r="B9" s="557">
        <v>722434</v>
      </c>
      <c r="C9" s="520" t="s">
        <v>93</v>
      </c>
      <c r="D9" s="537"/>
      <c r="E9" s="538">
        <v>12000</v>
      </c>
      <c r="F9" s="528">
        <f t="shared" si="5"/>
        <v>12000</v>
      </c>
      <c r="G9" s="537"/>
      <c r="H9" s="538"/>
      <c r="I9" s="528">
        <f t="shared" si="6"/>
        <v>0</v>
      </c>
      <c r="J9" s="518"/>
      <c r="K9" s="518"/>
      <c r="L9" s="348">
        <f t="shared" si="4"/>
        <v>0</v>
      </c>
      <c r="M9" s="348">
        <f t="shared" si="1"/>
        <v>0</v>
      </c>
    </row>
    <row r="10" spans="1:13" ht="27" customHeight="1">
      <c r="A10" s="554"/>
      <c r="B10" s="557">
        <v>722434</v>
      </c>
      <c r="C10" s="520" t="s">
        <v>1088</v>
      </c>
      <c r="D10" s="537">
        <v>22243</v>
      </c>
      <c r="E10" s="538"/>
      <c r="F10" s="528">
        <f t="shared" si="5"/>
        <v>22243</v>
      </c>
      <c r="G10" s="537"/>
      <c r="H10" s="538"/>
      <c r="I10" s="528">
        <f t="shared" si="6"/>
        <v>0</v>
      </c>
      <c r="J10" s="518"/>
      <c r="K10" s="518"/>
      <c r="L10" s="348">
        <f t="shared" si="4"/>
        <v>0</v>
      </c>
      <c r="M10" s="348">
        <f t="shared" si="1"/>
        <v>0</v>
      </c>
    </row>
    <row r="11" spans="1:13" ht="27" customHeight="1">
      <c r="A11" s="558"/>
      <c r="B11" s="556">
        <v>722435</v>
      </c>
      <c r="C11" s="520" t="s">
        <v>94</v>
      </c>
      <c r="D11" s="537"/>
      <c r="E11" s="538">
        <v>350000</v>
      </c>
      <c r="F11" s="528">
        <f t="shared" si="5"/>
        <v>350000</v>
      </c>
      <c r="G11" s="537"/>
      <c r="H11" s="538"/>
      <c r="I11" s="528">
        <f t="shared" si="6"/>
        <v>0</v>
      </c>
      <c r="J11" s="518"/>
      <c r="K11" s="518"/>
      <c r="L11" s="348">
        <f t="shared" si="4"/>
        <v>0</v>
      </c>
      <c r="M11" s="348">
        <f t="shared" si="1"/>
        <v>0</v>
      </c>
    </row>
    <row r="12" spans="1:13" ht="27" customHeight="1">
      <c r="A12" s="558"/>
      <c r="B12" s="556">
        <v>722435</v>
      </c>
      <c r="C12" s="520" t="s">
        <v>1186</v>
      </c>
      <c r="D12" s="537">
        <v>345588</v>
      </c>
      <c r="E12" s="538"/>
      <c r="F12" s="528">
        <f t="shared" si="5"/>
        <v>345588</v>
      </c>
      <c r="G12" s="537"/>
      <c r="H12" s="538"/>
      <c r="I12" s="528">
        <f t="shared" si="6"/>
        <v>0</v>
      </c>
      <c r="J12" s="518"/>
      <c r="K12" s="518"/>
      <c r="L12" s="348">
        <f t="shared" si="4"/>
        <v>0</v>
      </c>
      <c r="M12" s="348">
        <f t="shared" si="1"/>
        <v>0</v>
      </c>
    </row>
    <row r="13" spans="1:13" s="341" customFormat="1" ht="27" customHeight="1">
      <c r="A13" s="552">
        <v>223</v>
      </c>
      <c r="B13" s="559"/>
      <c r="C13" s="519" t="s">
        <v>618</v>
      </c>
      <c r="D13" s="535">
        <f>SUM(D14:D20)</f>
        <v>484220</v>
      </c>
      <c r="E13" s="536">
        <f>SUM(E14:E18,E19)</f>
        <v>1215065</v>
      </c>
      <c r="F13" s="527">
        <f>SUM(F14:F20)</f>
        <v>1699285</v>
      </c>
      <c r="G13" s="535">
        <f>SUM(G14:G20)</f>
        <v>0</v>
      </c>
      <c r="H13" s="536">
        <f>SUM(H14:H18,H19)</f>
        <v>0</v>
      </c>
      <c r="I13" s="527">
        <f>SUM(I14:I20)</f>
        <v>0</v>
      </c>
      <c r="J13" s="517">
        <f>SUM(D14:D20)</f>
        <v>484220</v>
      </c>
      <c r="K13" s="517">
        <f>SUM(E14:E20)</f>
        <v>1215065</v>
      </c>
      <c r="L13" s="348">
        <f t="shared" si="4"/>
        <v>1699285</v>
      </c>
      <c r="M13" s="348">
        <f t="shared" si="1"/>
        <v>0</v>
      </c>
    </row>
    <row r="14" spans="1:13" ht="27" customHeight="1">
      <c r="A14" s="554"/>
      <c r="B14" s="555">
        <v>721211</v>
      </c>
      <c r="C14" s="520" t="s">
        <v>90</v>
      </c>
      <c r="D14" s="548"/>
      <c r="E14" s="540">
        <v>65</v>
      </c>
      <c r="F14" s="528">
        <f t="shared" ref="F14:F20" si="7">E14+D14</f>
        <v>65</v>
      </c>
      <c r="G14" s="548"/>
      <c r="H14" s="540"/>
      <c r="I14" s="528">
        <f t="shared" ref="I14:I20" si="8">H14+G14</f>
        <v>0</v>
      </c>
      <c r="J14" s="518"/>
      <c r="K14" s="518"/>
      <c r="L14" s="348">
        <f t="shared" si="4"/>
        <v>0</v>
      </c>
      <c r="M14" s="348">
        <f t="shared" si="1"/>
        <v>0</v>
      </c>
    </row>
    <row r="15" spans="1:13" ht="27" customHeight="1">
      <c r="A15" s="554"/>
      <c r="B15" s="556">
        <v>722431</v>
      </c>
      <c r="C15" s="520" t="s">
        <v>96</v>
      </c>
      <c r="D15" s="548"/>
      <c r="E15" s="540">
        <v>10000</v>
      </c>
      <c r="F15" s="528">
        <f t="shared" si="7"/>
        <v>10000</v>
      </c>
      <c r="G15" s="548"/>
      <c r="H15" s="540"/>
      <c r="I15" s="528">
        <f t="shared" si="8"/>
        <v>0</v>
      </c>
      <c r="J15" s="518"/>
      <c r="K15" s="518"/>
      <c r="L15" s="348">
        <f t="shared" si="4"/>
        <v>0</v>
      </c>
      <c r="M15" s="348">
        <f t="shared" si="1"/>
        <v>0</v>
      </c>
    </row>
    <row r="16" spans="1:13" ht="27" customHeight="1">
      <c r="A16" s="554"/>
      <c r="B16" s="557">
        <v>722433</v>
      </c>
      <c r="C16" s="520" t="s">
        <v>97</v>
      </c>
      <c r="D16" s="548"/>
      <c r="E16" s="540">
        <v>600000</v>
      </c>
      <c r="F16" s="528">
        <f t="shared" si="7"/>
        <v>600000</v>
      </c>
      <c r="G16" s="548"/>
      <c r="H16" s="540"/>
      <c r="I16" s="528">
        <f t="shared" si="8"/>
        <v>0</v>
      </c>
      <c r="J16" s="518"/>
      <c r="K16" s="518"/>
      <c r="L16" s="348">
        <f t="shared" si="4"/>
        <v>0</v>
      </c>
      <c r="M16" s="348">
        <f t="shared" si="1"/>
        <v>0</v>
      </c>
    </row>
    <row r="17" spans="1:13" ht="27" customHeight="1">
      <c r="A17" s="554"/>
      <c r="B17" s="557">
        <v>722434</v>
      </c>
      <c r="C17" s="520" t="s">
        <v>98</v>
      </c>
      <c r="D17" s="539"/>
      <c r="E17" s="540">
        <v>5000</v>
      </c>
      <c r="F17" s="528">
        <f t="shared" si="7"/>
        <v>5000</v>
      </c>
      <c r="G17" s="539"/>
      <c r="H17" s="540"/>
      <c r="I17" s="528">
        <f t="shared" si="8"/>
        <v>0</v>
      </c>
      <c r="J17" s="518"/>
      <c r="K17" s="518"/>
      <c r="L17" s="348">
        <f t="shared" si="4"/>
        <v>0</v>
      </c>
      <c r="M17" s="348">
        <f t="shared" si="1"/>
        <v>0</v>
      </c>
    </row>
    <row r="18" spans="1:13" ht="27" customHeight="1">
      <c r="A18" s="554"/>
      <c r="B18" s="556">
        <v>722435</v>
      </c>
      <c r="C18" s="520" t="s">
        <v>94</v>
      </c>
      <c r="D18" s="548"/>
      <c r="E18" s="540">
        <v>600000</v>
      </c>
      <c r="F18" s="528">
        <f t="shared" si="7"/>
        <v>600000</v>
      </c>
      <c r="G18" s="548"/>
      <c r="H18" s="540"/>
      <c r="I18" s="528">
        <f t="shared" si="8"/>
        <v>0</v>
      </c>
      <c r="J18" s="518"/>
      <c r="K18" s="518"/>
      <c r="L18" s="348">
        <f t="shared" si="4"/>
        <v>0</v>
      </c>
      <c r="M18" s="348">
        <f t="shared" si="1"/>
        <v>0</v>
      </c>
    </row>
    <row r="19" spans="1:13" ht="27" customHeight="1">
      <c r="A19" s="554"/>
      <c r="B19" s="556" t="s">
        <v>1089</v>
      </c>
      <c r="C19" s="520" t="s">
        <v>1086</v>
      </c>
      <c r="D19" s="539">
        <v>479220</v>
      </c>
      <c r="E19" s="540"/>
      <c r="F19" s="528">
        <f t="shared" si="7"/>
        <v>479220</v>
      </c>
      <c r="G19" s="539"/>
      <c r="H19" s="540"/>
      <c r="I19" s="528">
        <f t="shared" si="8"/>
        <v>0</v>
      </c>
      <c r="J19" s="518"/>
      <c r="K19" s="518"/>
      <c r="L19" s="348">
        <f t="shared" si="4"/>
        <v>0</v>
      </c>
      <c r="M19" s="348">
        <f t="shared" si="1"/>
        <v>0</v>
      </c>
    </row>
    <row r="20" spans="1:13" ht="27" customHeight="1">
      <c r="A20" s="1031"/>
      <c r="B20" s="1032"/>
      <c r="C20" s="1033" t="s">
        <v>1612</v>
      </c>
      <c r="D20" s="1034">
        <v>5000</v>
      </c>
      <c r="E20" s="1035"/>
      <c r="F20" s="528">
        <f t="shared" si="7"/>
        <v>5000</v>
      </c>
      <c r="G20" s="1034"/>
      <c r="H20" s="1035"/>
      <c r="I20" s="528">
        <f t="shared" si="8"/>
        <v>0</v>
      </c>
      <c r="J20" s="518"/>
      <c r="K20" s="518"/>
      <c r="L20" s="348">
        <f t="shared" si="4"/>
        <v>0</v>
      </c>
      <c r="M20" s="348"/>
    </row>
    <row r="21" spans="1:13" s="341" customFormat="1" ht="27" customHeight="1">
      <c r="A21" s="552">
        <v>223</v>
      </c>
      <c r="B21" s="560"/>
      <c r="C21" s="519" t="s">
        <v>619</v>
      </c>
      <c r="D21" s="535">
        <f t="shared" ref="D21:I21" si="9">SUM(D22:D27)</f>
        <v>324728</v>
      </c>
      <c r="E21" s="536">
        <f t="shared" si="9"/>
        <v>414040</v>
      </c>
      <c r="F21" s="527">
        <f t="shared" si="9"/>
        <v>738768</v>
      </c>
      <c r="G21" s="535">
        <f t="shared" si="9"/>
        <v>0</v>
      </c>
      <c r="H21" s="536">
        <f t="shared" si="9"/>
        <v>0</v>
      </c>
      <c r="I21" s="527">
        <f t="shared" si="9"/>
        <v>0</v>
      </c>
      <c r="J21" s="517">
        <f>SUM(D22:D27)</f>
        <v>324728</v>
      </c>
      <c r="K21" s="517">
        <f>SUM(E22:E27)</f>
        <v>414040</v>
      </c>
      <c r="L21" s="348">
        <f t="shared" si="4"/>
        <v>738768</v>
      </c>
      <c r="M21" s="348">
        <f t="shared" ref="M21:M62" si="10">D21+E21-F21</f>
        <v>0</v>
      </c>
    </row>
    <row r="22" spans="1:13" ht="27" customHeight="1">
      <c r="A22" s="554"/>
      <c r="B22" s="555">
        <v>721211</v>
      </c>
      <c r="C22" s="520" t="s">
        <v>90</v>
      </c>
      <c r="D22" s="548"/>
      <c r="E22" s="540">
        <v>40</v>
      </c>
      <c r="F22" s="528">
        <f t="shared" ref="F22:F27" si="11">E22+D22</f>
        <v>40</v>
      </c>
      <c r="G22" s="548"/>
      <c r="H22" s="540"/>
      <c r="I22" s="528">
        <f t="shared" ref="I22:I27" si="12">H22+G22</f>
        <v>0</v>
      </c>
      <c r="J22" s="518"/>
      <c r="K22" s="518"/>
      <c r="L22" s="348">
        <f t="shared" si="4"/>
        <v>0</v>
      </c>
      <c r="M22" s="348">
        <f t="shared" si="10"/>
        <v>0</v>
      </c>
    </row>
    <row r="23" spans="1:13" ht="27" customHeight="1">
      <c r="A23" s="554"/>
      <c r="B23" s="556">
        <v>722431</v>
      </c>
      <c r="C23" s="520" t="s">
        <v>91</v>
      </c>
      <c r="D23" s="548"/>
      <c r="E23" s="540">
        <v>158000</v>
      </c>
      <c r="F23" s="528">
        <f t="shared" si="11"/>
        <v>158000</v>
      </c>
      <c r="G23" s="548"/>
      <c r="H23" s="540"/>
      <c r="I23" s="528">
        <f t="shared" si="12"/>
        <v>0</v>
      </c>
      <c r="J23" s="518"/>
      <c r="K23" s="518"/>
      <c r="L23" s="348">
        <f t="shared" si="4"/>
        <v>0</v>
      </c>
      <c r="M23" s="348">
        <f t="shared" si="10"/>
        <v>0</v>
      </c>
    </row>
    <row r="24" spans="1:13" ht="27" customHeight="1">
      <c r="A24" s="554"/>
      <c r="B24" s="557">
        <v>722433</v>
      </c>
      <c r="C24" s="520" t="s">
        <v>100</v>
      </c>
      <c r="D24" s="548"/>
      <c r="E24" s="540">
        <v>4000</v>
      </c>
      <c r="F24" s="528">
        <f t="shared" si="11"/>
        <v>4000</v>
      </c>
      <c r="G24" s="548"/>
      <c r="H24" s="540"/>
      <c r="I24" s="528">
        <f t="shared" si="12"/>
        <v>0</v>
      </c>
      <c r="J24" s="518"/>
      <c r="K24" s="518"/>
      <c r="L24" s="348">
        <f t="shared" si="4"/>
        <v>0</v>
      </c>
      <c r="M24" s="348">
        <f t="shared" si="10"/>
        <v>0</v>
      </c>
    </row>
    <row r="25" spans="1:13" ht="27" customHeight="1">
      <c r="A25" s="554"/>
      <c r="B25" s="557">
        <v>722434</v>
      </c>
      <c r="C25" s="520" t="s">
        <v>101</v>
      </c>
      <c r="D25" s="548"/>
      <c r="E25" s="540">
        <v>2000</v>
      </c>
      <c r="F25" s="528">
        <f t="shared" si="11"/>
        <v>2000</v>
      </c>
      <c r="G25" s="548"/>
      <c r="H25" s="540"/>
      <c r="I25" s="528">
        <f t="shared" si="12"/>
        <v>0</v>
      </c>
      <c r="J25" s="518"/>
      <c r="K25" s="518"/>
      <c r="L25" s="348">
        <f t="shared" si="4"/>
        <v>0</v>
      </c>
      <c r="M25" s="348">
        <f t="shared" si="10"/>
        <v>0</v>
      </c>
    </row>
    <row r="26" spans="1:13" ht="27" customHeight="1">
      <c r="A26" s="554"/>
      <c r="B26" s="556">
        <v>722435</v>
      </c>
      <c r="C26" s="520" t="s">
        <v>102</v>
      </c>
      <c r="D26" s="548"/>
      <c r="E26" s="538">
        <v>250000</v>
      </c>
      <c r="F26" s="528">
        <f t="shared" si="11"/>
        <v>250000</v>
      </c>
      <c r="G26" s="548"/>
      <c r="H26" s="538"/>
      <c r="I26" s="528">
        <f t="shared" si="12"/>
        <v>0</v>
      </c>
      <c r="J26" s="518"/>
      <c r="K26" s="518"/>
      <c r="L26" s="348">
        <f t="shared" si="4"/>
        <v>0</v>
      </c>
      <c r="M26" s="348">
        <f t="shared" si="10"/>
        <v>0</v>
      </c>
    </row>
    <row r="27" spans="1:13" ht="27" customHeight="1">
      <c r="A27" s="554"/>
      <c r="B27" s="556" t="s">
        <v>1089</v>
      </c>
      <c r="C27" s="520" t="s">
        <v>1187</v>
      </c>
      <c r="D27" s="537">
        <v>324728</v>
      </c>
      <c r="E27" s="538"/>
      <c r="F27" s="528">
        <f t="shared" si="11"/>
        <v>324728</v>
      </c>
      <c r="G27" s="537"/>
      <c r="H27" s="538"/>
      <c r="I27" s="528">
        <f t="shared" si="12"/>
        <v>0</v>
      </c>
      <c r="J27" s="518"/>
      <c r="K27" s="518"/>
      <c r="L27" s="348">
        <f t="shared" si="4"/>
        <v>0</v>
      </c>
      <c r="M27" s="348">
        <f t="shared" si="10"/>
        <v>0</v>
      </c>
    </row>
    <row r="28" spans="1:13" s="341" customFormat="1" ht="27" customHeight="1">
      <c r="A28" s="552">
        <v>223</v>
      </c>
      <c r="B28" s="559"/>
      <c r="C28" s="519" t="s">
        <v>620</v>
      </c>
      <c r="D28" s="535">
        <f t="shared" ref="D28:I28" si="13">SUM(D29:D34)</f>
        <v>166249.48000000001</v>
      </c>
      <c r="E28" s="536">
        <f t="shared" si="13"/>
        <v>193025</v>
      </c>
      <c r="F28" s="527">
        <f t="shared" si="13"/>
        <v>359274.48</v>
      </c>
      <c r="G28" s="535">
        <f t="shared" si="13"/>
        <v>0</v>
      </c>
      <c r="H28" s="536">
        <f t="shared" si="13"/>
        <v>0</v>
      </c>
      <c r="I28" s="527">
        <f t="shared" si="13"/>
        <v>0</v>
      </c>
      <c r="J28" s="517">
        <f>SUM(D29:D34)</f>
        <v>166249.48000000001</v>
      </c>
      <c r="K28" s="517">
        <f>SUM(E29:E34)</f>
        <v>193025</v>
      </c>
      <c r="L28" s="348">
        <f t="shared" si="4"/>
        <v>359274.48</v>
      </c>
      <c r="M28" s="348">
        <f t="shared" si="10"/>
        <v>0</v>
      </c>
    </row>
    <row r="29" spans="1:13" ht="27" customHeight="1">
      <c r="A29" s="554"/>
      <c r="B29" s="555">
        <v>721211</v>
      </c>
      <c r="C29" s="520" t="s">
        <v>90</v>
      </c>
      <c r="D29" s="548"/>
      <c r="E29" s="538">
        <v>25</v>
      </c>
      <c r="F29" s="528">
        <f t="shared" ref="F29:F34" si="14">E29+D29</f>
        <v>25</v>
      </c>
      <c r="G29" s="548"/>
      <c r="H29" s="538"/>
      <c r="I29" s="528">
        <f t="shared" ref="I29:I34" si="15">H29+G29</f>
        <v>0</v>
      </c>
      <c r="J29" s="518"/>
      <c r="K29" s="518"/>
      <c r="L29" s="348">
        <f t="shared" si="4"/>
        <v>0</v>
      </c>
      <c r="M29" s="348">
        <f t="shared" si="10"/>
        <v>0</v>
      </c>
    </row>
    <row r="30" spans="1:13" ht="27" customHeight="1">
      <c r="A30" s="554"/>
      <c r="B30" s="556">
        <v>722431</v>
      </c>
      <c r="C30" s="520" t="s">
        <v>104</v>
      </c>
      <c r="D30" s="548"/>
      <c r="E30" s="538">
        <v>3000</v>
      </c>
      <c r="F30" s="528">
        <f t="shared" si="14"/>
        <v>3000</v>
      </c>
      <c r="G30" s="548"/>
      <c r="H30" s="538"/>
      <c r="I30" s="528">
        <f t="shared" si="15"/>
        <v>0</v>
      </c>
      <c r="J30" s="518"/>
      <c r="K30" s="518"/>
      <c r="L30" s="348">
        <f t="shared" si="4"/>
        <v>0</v>
      </c>
      <c r="M30" s="348">
        <f t="shared" si="10"/>
        <v>0</v>
      </c>
    </row>
    <row r="31" spans="1:13" ht="27" customHeight="1">
      <c r="A31" s="554"/>
      <c r="B31" s="557">
        <v>722433</v>
      </c>
      <c r="C31" s="520" t="s">
        <v>105</v>
      </c>
      <c r="D31" s="548"/>
      <c r="E31" s="538">
        <v>35000</v>
      </c>
      <c r="F31" s="528">
        <f t="shared" si="14"/>
        <v>35000</v>
      </c>
      <c r="G31" s="548"/>
      <c r="H31" s="538"/>
      <c r="I31" s="528">
        <f t="shared" si="15"/>
        <v>0</v>
      </c>
      <c r="J31" s="518"/>
      <c r="K31" s="518"/>
      <c r="L31" s="348">
        <f t="shared" si="4"/>
        <v>0</v>
      </c>
      <c r="M31" s="348">
        <f t="shared" si="10"/>
        <v>0</v>
      </c>
    </row>
    <row r="32" spans="1:13" ht="27" customHeight="1">
      <c r="A32" s="554"/>
      <c r="B32" s="557">
        <v>722434</v>
      </c>
      <c r="C32" s="520" t="s">
        <v>101</v>
      </c>
      <c r="D32" s="548"/>
      <c r="E32" s="538">
        <v>5000</v>
      </c>
      <c r="F32" s="528">
        <f t="shared" si="14"/>
        <v>5000</v>
      </c>
      <c r="G32" s="548"/>
      <c r="H32" s="538"/>
      <c r="I32" s="528">
        <f t="shared" si="15"/>
        <v>0</v>
      </c>
      <c r="J32" s="518"/>
      <c r="K32" s="518"/>
      <c r="L32" s="348">
        <f t="shared" si="4"/>
        <v>0</v>
      </c>
      <c r="M32" s="348">
        <f t="shared" si="10"/>
        <v>0</v>
      </c>
    </row>
    <row r="33" spans="1:13" ht="27" customHeight="1">
      <c r="A33" s="554"/>
      <c r="B33" s="556">
        <v>722435</v>
      </c>
      <c r="C33" s="520" t="s">
        <v>106</v>
      </c>
      <c r="D33" s="548"/>
      <c r="E33" s="538">
        <v>150000</v>
      </c>
      <c r="F33" s="528">
        <f t="shared" si="14"/>
        <v>150000</v>
      </c>
      <c r="G33" s="548"/>
      <c r="H33" s="538"/>
      <c r="I33" s="528">
        <f t="shared" si="15"/>
        <v>0</v>
      </c>
      <c r="J33" s="518"/>
      <c r="K33" s="518"/>
      <c r="L33" s="348">
        <f t="shared" si="4"/>
        <v>0</v>
      </c>
      <c r="M33" s="348">
        <f t="shared" si="10"/>
        <v>0</v>
      </c>
    </row>
    <row r="34" spans="1:13" ht="27" customHeight="1">
      <c r="A34" s="554"/>
      <c r="B34" s="556">
        <v>722435</v>
      </c>
      <c r="C34" s="520" t="s">
        <v>1188</v>
      </c>
      <c r="D34" s="537">
        <v>166249.48000000001</v>
      </c>
      <c r="E34" s="538"/>
      <c r="F34" s="528">
        <f t="shared" si="14"/>
        <v>166249.48000000001</v>
      </c>
      <c r="G34" s="537"/>
      <c r="H34" s="538"/>
      <c r="I34" s="528">
        <f t="shared" si="15"/>
        <v>0</v>
      </c>
      <c r="J34" s="518"/>
      <c r="K34" s="518"/>
      <c r="L34" s="348">
        <f t="shared" si="4"/>
        <v>0</v>
      </c>
      <c r="M34" s="348">
        <f t="shared" si="10"/>
        <v>0</v>
      </c>
    </row>
    <row r="35" spans="1:13" s="341" customFormat="1" ht="27" customHeight="1">
      <c r="A35" s="552">
        <v>223</v>
      </c>
      <c r="B35" s="559"/>
      <c r="C35" s="519" t="s">
        <v>621</v>
      </c>
      <c r="D35" s="535">
        <f t="shared" ref="D35:I35" si="16">SUM(D36:D41)</f>
        <v>949483</v>
      </c>
      <c r="E35" s="536">
        <f t="shared" si="16"/>
        <v>1550113</v>
      </c>
      <c r="F35" s="527">
        <f t="shared" si="16"/>
        <v>2499596</v>
      </c>
      <c r="G35" s="535">
        <f t="shared" si="16"/>
        <v>0</v>
      </c>
      <c r="H35" s="536">
        <f t="shared" si="16"/>
        <v>0</v>
      </c>
      <c r="I35" s="527">
        <f t="shared" si="16"/>
        <v>0</v>
      </c>
      <c r="J35" s="517">
        <f>SUM(D36:D41)</f>
        <v>949483</v>
      </c>
      <c r="K35" s="517">
        <f>SUM(E36:E41)</f>
        <v>1550113</v>
      </c>
      <c r="L35" s="348">
        <f t="shared" si="4"/>
        <v>2499596</v>
      </c>
      <c r="M35" s="348">
        <f t="shared" si="10"/>
        <v>0</v>
      </c>
    </row>
    <row r="36" spans="1:13" ht="27" customHeight="1">
      <c r="A36" s="554"/>
      <c r="B36" s="555">
        <v>721211</v>
      </c>
      <c r="C36" s="520" t="s">
        <v>90</v>
      </c>
      <c r="D36" s="548"/>
      <c r="E36" s="538">
        <v>113</v>
      </c>
      <c r="F36" s="528">
        <f t="shared" ref="F36:F41" si="17">E36+D36</f>
        <v>113</v>
      </c>
      <c r="G36" s="548"/>
      <c r="H36" s="538"/>
      <c r="I36" s="528">
        <f t="shared" ref="I36:I41" si="18">H36+G36</f>
        <v>0</v>
      </c>
      <c r="J36" s="518"/>
      <c r="K36" s="518"/>
      <c r="L36" s="348">
        <f t="shared" si="4"/>
        <v>0</v>
      </c>
      <c r="M36" s="348">
        <f t="shared" si="10"/>
        <v>0</v>
      </c>
    </row>
    <row r="37" spans="1:13" ht="27" customHeight="1">
      <c r="A37" s="554"/>
      <c r="B37" s="556">
        <v>722431</v>
      </c>
      <c r="C37" s="520" t="s">
        <v>91</v>
      </c>
      <c r="D37" s="548"/>
      <c r="E37" s="538">
        <v>30000</v>
      </c>
      <c r="F37" s="528">
        <f t="shared" si="17"/>
        <v>30000</v>
      </c>
      <c r="G37" s="548"/>
      <c r="H37" s="538"/>
      <c r="I37" s="528">
        <f t="shared" si="18"/>
        <v>0</v>
      </c>
      <c r="J37" s="518"/>
      <c r="K37" s="518"/>
      <c r="L37" s="348">
        <f t="shared" si="4"/>
        <v>0</v>
      </c>
      <c r="M37" s="348">
        <f t="shared" si="10"/>
        <v>0</v>
      </c>
    </row>
    <row r="38" spans="1:13" ht="27" customHeight="1">
      <c r="A38" s="554"/>
      <c r="B38" s="557">
        <v>722433</v>
      </c>
      <c r="C38" s="520" t="s">
        <v>100</v>
      </c>
      <c r="D38" s="548"/>
      <c r="E38" s="538">
        <v>550000</v>
      </c>
      <c r="F38" s="528">
        <f t="shared" si="17"/>
        <v>550000</v>
      </c>
      <c r="G38" s="548"/>
      <c r="H38" s="538"/>
      <c r="I38" s="528">
        <f t="shared" si="18"/>
        <v>0</v>
      </c>
      <c r="J38" s="518"/>
      <c r="K38" s="518"/>
      <c r="L38" s="348">
        <f t="shared" si="4"/>
        <v>0</v>
      </c>
      <c r="M38" s="348">
        <f t="shared" si="10"/>
        <v>0</v>
      </c>
    </row>
    <row r="39" spans="1:13" ht="27" customHeight="1">
      <c r="A39" s="554"/>
      <c r="B39" s="557">
        <v>722434</v>
      </c>
      <c r="C39" s="520" t="s">
        <v>101</v>
      </c>
      <c r="D39" s="548"/>
      <c r="E39" s="538">
        <v>20000</v>
      </c>
      <c r="F39" s="528">
        <f t="shared" si="17"/>
        <v>20000</v>
      </c>
      <c r="G39" s="548"/>
      <c r="H39" s="538"/>
      <c r="I39" s="528">
        <f t="shared" si="18"/>
        <v>0</v>
      </c>
      <c r="J39" s="518"/>
      <c r="K39" s="518"/>
      <c r="L39" s="348">
        <f t="shared" si="4"/>
        <v>0</v>
      </c>
      <c r="M39" s="348">
        <f t="shared" si="10"/>
        <v>0</v>
      </c>
    </row>
    <row r="40" spans="1:13" ht="27" customHeight="1">
      <c r="A40" s="554"/>
      <c r="B40" s="556">
        <v>722435</v>
      </c>
      <c r="C40" s="520" t="s">
        <v>102</v>
      </c>
      <c r="D40" s="548"/>
      <c r="E40" s="549">
        <v>950000</v>
      </c>
      <c r="F40" s="528">
        <f t="shared" si="17"/>
        <v>950000</v>
      </c>
      <c r="G40" s="548"/>
      <c r="H40" s="549"/>
      <c r="I40" s="528">
        <f t="shared" si="18"/>
        <v>0</v>
      </c>
      <c r="J40" s="518"/>
      <c r="K40" s="518"/>
      <c r="L40" s="348">
        <f t="shared" si="4"/>
        <v>0</v>
      </c>
      <c r="M40" s="348">
        <f t="shared" si="10"/>
        <v>0</v>
      </c>
    </row>
    <row r="41" spans="1:13" ht="27" customHeight="1">
      <c r="A41" s="554"/>
      <c r="B41" s="556" t="s">
        <v>1089</v>
      </c>
      <c r="C41" s="520" t="s">
        <v>1189</v>
      </c>
      <c r="D41" s="537">
        <v>949483</v>
      </c>
      <c r="E41" s="538"/>
      <c r="F41" s="528">
        <f t="shared" si="17"/>
        <v>949483</v>
      </c>
      <c r="G41" s="537"/>
      <c r="H41" s="538"/>
      <c r="I41" s="528">
        <f t="shared" si="18"/>
        <v>0</v>
      </c>
      <c r="J41" s="518"/>
      <c r="K41" s="518"/>
      <c r="L41" s="348">
        <f t="shared" si="4"/>
        <v>0</v>
      </c>
      <c r="M41" s="348">
        <f t="shared" si="10"/>
        <v>0</v>
      </c>
    </row>
    <row r="42" spans="1:13" s="341" customFormat="1" ht="27" customHeight="1">
      <c r="A42" s="552">
        <v>223</v>
      </c>
      <c r="B42" s="559"/>
      <c r="C42" s="519" t="s">
        <v>622</v>
      </c>
      <c r="D42" s="535">
        <f t="shared" ref="D42:I42" si="19">SUM(D43:D49)</f>
        <v>1866674</v>
      </c>
      <c r="E42" s="536">
        <f t="shared" si="19"/>
        <v>810200</v>
      </c>
      <c r="F42" s="527">
        <f t="shared" si="19"/>
        <v>2676874</v>
      </c>
      <c r="G42" s="535">
        <f t="shared" si="19"/>
        <v>0</v>
      </c>
      <c r="H42" s="536">
        <f t="shared" si="19"/>
        <v>0</v>
      </c>
      <c r="I42" s="527">
        <f t="shared" si="19"/>
        <v>0</v>
      </c>
      <c r="J42" s="517">
        <f>SUM(D43:D49)</f>
        <v>1866674</v>
      </c>
      <c r="K42" s="517">
        <f>SUM(E43:E49)</f>
        <v>810200</v>
      </c>
      <c r="L42" s="348">
        <f t="shared" si="4"/>
        <v>2676874</v>
      </c>
      <c r="M42" s="348">
        <f t="shared" si="10"/>
        <v>0</v>
      </c>
    </row>
    <row r="43" spans="1:13" ht="27" customHeight="1">
      <c r="A43" s="554"/>
      <c r="B43" s="555">
        <v>721211</v>
      </c>
      <c r="C43" s="520" t="s">
        <v>90</v>
      </c>
      <c r="D43" s="548"/>
      <c r="E43" s="538">
        <v>200</v>
      </c>
      <c r="F43" s="528">
        <f t="shared" ref="F43:F49" si="20">E43+D43</f>
        <v>200</v>
      </c>
      <c r="G43" s="548"/>
      <c r="H43" s="538"/>
      <c r="I43" s="528">
        <f t="shared" ref="I43:I49" si="21">H43+G43</f>
        <v>0</v>
      </c>
      <c r="J43" s="518"/>
      <c r="K43" s="518"/>
      <c r="L43" s="348">
        <f t="shared" si="4"/>
        <v>0</v>
      </c>
      <c r="M43" s="348">
        <f t="shared" si="10"/>
        <v>0</v>
      </c>
    </row>
    <row r="44" spans="1:13" ht="27" customHeight="1">
      <c r="A44" s="554"/>
      <c r="B44" s="556">
        <v>722431</v>
      </c>
      <c r="C44" s="520" t="s">
        <v>96</v>
      </c>
      <c r="D44" s="548"/>
      <c r="E44" s="538">
        <v>5000</v>
      </c>
      <c r="F44" s="528">
        <f t="shared" si="20"/>
        <v>5000</v>
      </c>
      <c r="G44" s="548"/>
      <c r="H44" s="538"/>
      <c r="I44" s="528">
        <f t="shared" si="21"/>
        <v>0</v>
      </c>
      <c r="J44" s="518"/>
      <c r="K44" s="518"/>
      <c r="L44" s="348">
        <f t="shared" si="4"/>
        <v>0</v>
      </c>
      <c r="M44" s="348">
        <f t="shared" si="10"/>
        <v>0</v>
      </c>
    </row>
    <row r="45" spans="1:13" ht="27" customHeight="1">
      <c r="A45" s="554"/>
      <c r="B45" s="557">
        <v>722433</v>
      </c>
      <c r="C45" s="520" t="s">
        <v>100</v>
      </c>
      <c r="D45" s="548"/>
      <c r="E45" s="538">
        <v>300000</v>
      </c>
      <c r="F45" s="528">
        <f t="shared" si="20"/>
        <v>300000</v>
      </c>
      <c r="G45" s="548"/>
      <c r="H45" s="538"/>
      <c r="I45" s="528">
        <f t="shared" si="21"/>
        <v>0</v>
      </c>
      <c r="J45" s="518"/>
      <c r="K45" s="518"/>
      <c r="L45" s="348">
        <f t="shared" si="4"/>
        <v>0</v>
      </c>
      <c r="M45" s="348">
        <f t="shared" si="10"/>
        <v>0</v>
      </c>
    </row>
    <row r="46" spans="1:13" ht="27" customHeight="1">
      <c r="A46" s="554"/>
      <c r="B46" s="557" t="s">
        <v>1240</v>
      </c>
      <c r="C46" s="520" t="s">
        <v>1191</v>
      </c>
      <c r="D46" s="537">
        <v>86452</v>
      </c>
      <c r="E46" s="538"/>
      <c r="F46" s="528">
        <f t="shared" si="20"/>
        <v>86452</v>
      </c>
      <c r="G46" s="537"/>
      <c r="H46" s="538"/>
      <c r="I46" s="528">
        <f t="shared" si="21"/>
        <v>0</v>
      </c>
      <c r="J46" s="518"/>
      <c r="K46" s="518"/>
      <c r="L46" s="348">
        <f t="shared" si="4"/>
        <v>0</v>
      </c>
      <c r="M46" s="348">
        <f t="shared" si="10"/>
        <v>0</v>
      </c>
    </row>
    <row r="47" spans="1:13" ht="27" customHeight="1">
      <c r="A47" s="554"/>
      <c r="B47" s="557">
        <v>722434</v>
      </c>
      <c r="C47" s="520" t="s">
        <v>101</v>
      </c>
      <c r="D47" s="548"/>
      <c r="E47" s="538">
        <v>5000</v>
      </c>
      <c r="F47" s="528">
        <f t="shared" si="20"/>
        <v>5000</v>
      </c>
      <c r="G47" s="548"/>
      <c r="H47" s="538"/>
      <c r="I47" s="528">
        <f t="shared" si="21"/>
        <v>0</v>
      </c>
      <c r="J47" s="518"/>
      <c r="K47" s="518"/>
      <c r="L47" s="348">
        <f t="shared" si="4"/>
        <v>0</v>
      </c>
      <c r="M47" s="348">
        <f t="shared" si="10"/>
        <v>0</v>
      </c>
    </row>
    <row r="48" spans="1:13" ht="27" customHeight="1">
      <c r="A48" s="554"/>
      <c r="B48" s="556">
        <v>722435</v>
      </c>
      <c r="C48" s="520" t="s">
        <v>109</v>
      </c>
      <c r="D48" s="548"/>
      <c r="E48" s="538">
        <v>500000</v>
      </c>
      <c r="F48" s="528">
        <f t="shared" si="20"/>
        <v>500000</v>
      </c>
      <c r="G48" s="548"/>
      <c r="H48" s="538"/>
      <c r="I48" s="528">
        <f t="shared" si="21"/>
        <v>0</v>
      </c>
      <c r="J48" s="518"/>
      <c r="K48" s="518"/>
      <c r="L48" s="348">
        <f t="shared" si="4"/>
        <v>0</v>
      </c>
      <c r="M48" s="348">
        <f t="shared" si="10"/>
        <v>0</v>
      </c>
    </row>
    <row r="49" spans="1:13" ht="27" customHeight="1">
      <c r="A49" s="554"/>
      <c r="B49" s="556">
        <v>722435</v>
      </c>
      <c r="C49" s="520" t="s">
        <v>1189</v>
      </c>
      <c r="D49" s="537">
        <v>1780222</v>
      </c>
      <c r="E49" s="538"/>
      <c r="F49" s="528">
        <f t="shared" si="20"/>
        <v>1780222</v>
      </c>
      <c r="G49" s="537"/>
      <c r="H49" s="538"/>
      <c r="I49" s="528">
        <f t="shared" si="21"/>
        <v>0</v>
      </c>
      <c r="J49" s="518"/>
      <c r="K49" s="518"/>
      <c r="L49" s="348">
        <f t="shared" si="4"/>
        <v>0</v>
      </c>
      <c r="M49" s="348">
        <f t="shared" si="10"/>
        <v>0</v>
      </c>
    </row>
    <row r="50" spans="1:13" s="341" customFormat="1" ht="27" customHeight="1">
      <c r="A50" s="552">
        <v>223</v>
      </c>
      <c r="B50" s="559"/>
      <c r="C50" s="519" t="s">
        <v>623</v>
      </c>
      <c r="D50" s="535">
        <f t="shared" ref="D50:I50" si="22">SUM(D51:D56)</f>
        <v>625215</v>
      </c>
      <c r="E50" s="536">
        <f t="shared" si="22"/>
        <v>221070</v>
      </c>
      <c r="F50" s="527">
        <f t="shared" si="22"/>
        <v>846285</v>
      </c>
      <c r="G50" s="535">
        <f t="shared" si="22"/>
        <v>0</v>
      </c>
      <c r="H50" s="536">
        <f t="shared" si="22"/>
        <v>0</v>
      </c>
      <c r="I50" s="527">
        <f t="shared" si="22"/>
        <v>0</v>
      </c>
      <c r="J50" s="517">
        <f>SUM(D51:D56)</f>
        <v>625215</v>
      </c>
      <c r="K50" s="517">
        <f>SUM(E51:E56)</f>
        <v>221070</v>
      </c>
      <c r="L50" s="348">
        <f t="shared" si="4"/>
        <v>846285</v>
      </c>
      <c r="M50" s="348">
        <f t="shared" si="10"/>
        <v>0</v>
      </c>
    </row>
    <row r="51" spans="1:13" ht="27" customHeight="1">
      <c r="A51" s="554"/>
      <c r="B51" s="555">
        <v>721211</v>
      </c>
      <c r="C51" s="520" t="s">
        <v>90</v>
      </c>
      <c r="D51" s="548"/>
      <c r="E51" s="538">
        <v>70</v>
      </c>
      <c r="F51" s="528">
        <f t="shared" ref="F51:F56" si="23">E51+D51</f>
        <v>70</v>
      </c>
      <c r="G51" s="548"/>
      <c r="H51" s="538"/>
      <c r="I51" s="528">
        <f t="shared" ref="I51:I56" si="24">H51+G51</f>
        <v>0</v>
      </c>
      <c r="J51" s="518"/>
      <c r="K51" s="518"/>
      <c r="L51" s="348">
        <f t="shared" si="4"/>
        <v>0</v>
      </c>
      <c r="M51" s="348">
        <f t="shared" si="10"/>
        <v>0</v>
      </c>
    </row>
    <row r="52" spans="1:13" ht="27" customHeight="1">
      <c r="A52" s="554"/>
      <c r="B52" s="556">
        <v>722431</v>
      </c>
      <c r="C52" s="520" t="s">
        <v>91</v>
      </c>
      <c r="D52" s="548"/>
      <c r="E52" s="538">
        <v>1000</v>
      </c>
      <c r="F52" s="528">
        <f t="shared" si="23"/>
        <v>1000</v>
      </c>
      <c r="G52" s="548"/>
      <c r="H52" s="538"/>
      <c r="I52" s="528">
        <f t="shared" si="24"/>
        <v>0</v>
      </c>
      <c r="J52" s="518"/>
      <c r="K52" s="518"/>
      <c r="L52" s="348">
        <f t="shared" si="4"/>
        <v>0</v>
      </c>
      <c r="M52" s="348">
        <f t="shared" si="10"/>
        <v>0</v>
      </c>
    </row>
    <row r="53" spans="1:13" ht="27" customHeight="1">
      <c r="A53" s="554"/>
      <c r="B53" s="557">
        <v>722433</v>
      </c>
      <c r="C53" s="520" t="s">
        <v>111</v>
      </c>
      <c r="D53" s="548"/>
      <c r="E53" s="538">
        <v>10000</v>
      </c>
      <c r="F53" s="528">
        <f t="shared" si="23"/>
        <v>10000</v>
      </c>
      <c r="G53" s="548"/>
      <c r="H53" s="538"/>
      <c r="I53" s="528">
        <f t="shared" si="24"/>
        <v>0</v>
      </c>
      <c r="J53" s="518"/>
      <c r="K53" s="518"/>
      <c r="L53" s="348">
        <f t="shared" si="4"/>
        <v>0</v>
      </c>
      <c r="M53" s="348">
        <f t="shared" si="10"/>
        <v>0</v>
      </c>
    </row>
    <row r="54" spans="1:13" ht="27" customHeight="1">
      <c r="A54" s="554"/>
      <c r="B54" s="557">
        <v>722434</v>
      </c>
      <c r="C54" s="520" t="s">
        <v>112</v>
      </c>
      <c r="D54" s="548"/>
      <c r="E54" s="538">
        <v>10000</v>
      </c>
      <c r="F54" s="528">
        <f t="shared" si="23"/>
        <v>10000</v>
      </c>
      <c r="G54" s="548"/>
      <c r="H54" s="538"/>
      <c r="I54" s="528">
        <f t="shared" si="24"/>
        <v>0</v>
      </c>
      <c r="J54" s="518"/>
      <c r="K54" s="518"/>
      <c r="L54" s="348">
        <f t="shared" si="4"/>
        <v>0</v>
      </c>
      <c r="M54" s="348">
        <f t="shared" si="10"/>
        <v>0</v>
      </c>
    </row>
    <row r="55" spans="1:13" ht="27" customHeight="1">
      <c r="A55" s="554"/>
      <c r="B55" s="557">
        <v>722435</v>
      </c>
      <c r="C55" s="520" t="s">
        <v>113</v>
      </c>
      <c r="D55" s="548"/>
      <c r="E55" s="538">
        <v>200000</v>
      </c>
      <c r="F55" s="528">
        <f t="shared" si="23"/>
        <v>200000</v>
      </c>
      <c r="G55" s="548"/>
      <c r="H55" s="538"/>
      <c r="I55" s="528">
        <f t="shared" si="24"/>
        <v>0</v>
      </c>
      <c r="J55" s="518"/>
      <c r="K55" s="518"/>
      <c r="L55" s="348">
        <f t="shared" si="4"/>
        <v>0</v>
      </c>
      <c r="M55" s="348">
        <f t="shared" si="10"/>
        <v>0</v>
      </c>
    </row>
    <row r="56" spans="1:13" ht="27" customHeight="1">
      <c r="A56" s="554"/>
      <c r="B56" s="557" t="s">
        <v>1089</v>
      </c>
      <c r="C56" s="520" t="s">
        <v>1190</v>
      </c>
      <c r="D56" s="537">
        <v>625215</v>
      </c>
      <c r="E56" s="538"/>
      <c r="F56" s="528">
        <f t="shared" si="23"/>
        <v>625215</v>
      </c>
      <c r="G56" s="537"/>
      <c r="H56" s="538"/>
      <c r="I56" s="528">
        <f t="shared" si="24"/>
        <v>0</v>
      </c>
      <c r="J56" s="518"/>
      <c r="K56" s="518"/>
      <c r="L56" s="348">
        <f t="shared" si="4"/>
        <v>0</v>
      </c>
      <c r="M56" s="348">
        <f t="shared" si="10"/>
        <v>0</v>
      </c>
    </row>
    <row r="57" spans="1:13" s="341" customFormat="1" ht="27" customHeight="1">
      <c r="A57" s="552">
        <v>223</v>
      </c>
      <c r="B57" s="561"/>
      <c r="C57" s="519" t="s">
        <v>624</v>
      </c>
      <c r="D57" s="533">
        <f t="shared" ref="D57:I57" si="25">SUM(D58:D62)</f>
        <v>0</v>
      </c>
      <c r="E57" s="536">
        <f t="shared" si="25"/>
        <v>1243935</v>
      </c>
      <c r="F57" s="527">
        <f t="shared" si="25"/>
        <v>1243935</v>
      </c>
      <c r="G57" s="533">
        <f t="shared" si="25"/>
        <v>0</v>
      </c>
      <c r="H57" s="536">
        <f t="shared" si="25"/>
        <v>0</v>
      </c>
      <c r="I57" s="527">
        <f t="shared" si="25"/>
        <v>0</v>
      </c>
      <c r="J57" s="517">
        <f>SUM(D58:D62)</f>
        <v>0</v>
      </c>
      <c r="K57" s="517">
        <f>SUM(E58:E62)</f>
        <v>1243935</v>
      </c>
      <c r="L57" s="348">
        <f>J57+K57</f>
        <v>1243935</v>
      </c>
      <c r="M57" s="348">
        <f t="shared" si="10"/>
        <v>0</v>
      </c>
    </row>
    <row r="58" spans="1:13" ht="27" customHeight="1">
      <c r="A58" s="558"/>
      <c r="B58" s="555">
        <v>721211</v>
      </c>
      <c r="C58" s="520" t="s">
        <v>90</v>
      </c>
      <c r="D58" s="548"/>
      <c r="E58" s="538">
        <v>10</v>
      </c>
      <c r="F58" s="528">
        <f>E58+D58</f>
        <v>10</v>
      </c>
      <c r="G58" s="548"/>
      <c r="H58" s="538"/>
      <c r="I58" s="528">
        <f>H58+G58</f>
        <v>0</v>
      </c>
      <c r="J58" s="518"/>
      <c r="K58" s="518"/>
      <c r="M58" s="348">
        <f t="shared" si="10"/>
        <v>0</v>
      </c>
    </row>
    <row r="59" spans="1:13" ht="27" customHeight="1">
      <c r="A59" s="558"/>
      <c r="B59" s="556">
        <v>722431</v>
      </c>
      <c r="C59" s="520" t="s">
        <v>96</v>
      </c>
      <c r="D59" s="548"/>
      <c r="E59" s="538">
        <v>101925</v>
      </c>
      <c r="F59" s="528">
        <f>E59+D59</f>
        <v>101925</v>
      </c>
      <c r="G59" s="548"/>
      <c r="H59" s="538"/>
      <c r="I59" s="528">
        <f>H59+G59</f>
        <v>0</v>
      </c>
      <c r="J59" s="518"/>
      <c r="K59" s="518"/>
      <c r="M59" s="348">
        <f t="shared" si="10"/>
        <v>0</v>
      </c>
    </row>
    <row r="60" spans="1:13" ht="27" customHeight="1">
      <c r="A60" s="558"/>
      <c r="B60" s="557">
        <v>722433</v>
      </c>
      <c r="C60" s="520" t="s">
        <v>100</v>
      </c>
      <c r="D60" s="548"/>
      <c r="E60" s="538">
        <v>377250</v>
      </c>
      <c r="F60" s="528">
        <f>E60+D60</f>
        <v>377250</v>
      </c>
      <c r="G60" s="548"/>
      <c r="H60" s="538"/>
      <c r="I60" s="528">
        <f>H60+G60</f>
        <v>0</v>
      </c>
      <c r="J60" s="518"/>
      <c r="K60" s="518"/>
      <c r="M60" s="348">
        <f t="shared" si="10"/>
        <v>0</v>
      </c>
    </row>
    <row r="61" spans="1:13" ht="27" customHeight="1">
      <c r="A61" s="558"/>
      <c r="B61" s="557">
        <v>722434</v>
      </c>
      <c r="C61" s="520" t="s">
        <v>101</v>
      </c>
      <c r="D61" s="548"/>
      <c r="E61" s="538">
        <v>14750</v>
      </c>
      <c r="F61" s="528">
        <f>E61+D61</f>
        <v>14750</v>
      </c>
      <c r="G61" s="548"/>
      <c r="H61" s="538"/>
      <c r="I61" s="528">
        <f>H61+G61</f>
        <v>0</v>
      </c>
      <c r="J61" s="518"/>
      <c r="K61" s="518"/>
      <c r="M61" s="348">
        <f t="shared" si="10"/>
        <v>0</v>
      </c>
    </row>
    <row r="62" spans="1:13" ht="27" customHeight="1" thickBot="1">
      <c r="A62" s="562"/>
      <c r="B62" s="563">
        <v>722435</v>
      </c>
      <c r="C62" s="521" t="s">
        <v>115</v>
      </c>
      <c r="D62" s="550"/>
      <c r="E62" s="546">
        <v>750000</v>
      </c>
      <c r="F62" s="529">
        <f>E62+D62</f>
        <v>750000</v>
      </c>
      <c r="G62" s="550"/>
      <c r="H62" s="546"/>
      <c r="I62" s="529">
        <f>H62+G62</f>
        <v>0</v>
      </c>
      <c r="J62" s="518"/>
      <c r="K62" s="518"/>
      <c r="M62" s="348">
        <f t="shared" si="10"/>
        <v>0</v>
      </c>
    </row>
    <row r="63" spans="1:13" ht="16.5" thickTop="1"/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&amp;LRebalans Grada Mostara za 2021.godinu- Naknade po osnovu građenja i građevnog zemljišta&amp;C&amp;P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2"/>
  <dimension ref="A1:Q16"/>
  <sheetViews>
    <sheetView topLeftCell="A4" workbookViewId="0">
      <selection activeCell="O12" sqref="O12:O16"/>
    </sheetView>
  </sheetViews>
  <sheetFormatPr defaultRowHeight="15"/>
  <cols>
    <col min="4" max="4" width="25.28515625" customWidth="1"/>
    <col min="5" max="16" width="11.42578125" customWidth="1"/>
    <col min="17" max="17" width="9.28515625" bestFit="1" customWidth="1"/>
  </cols>
  <sheetData>
    <row r="1" spans="1:17" ht="18" customHeight="1" thickTop="1">
      <c r="A1" s="3430" t="s">
        <v>200</v>
      </c>
      <c r="B1" s="3432" t="s">
        <v>201</v>
      </c>
      <c r="C1" s="3432" t="s">
        <v>202</v>
      </c>
      <c r="D1" s="3434" t="s">
        <v>1</v>
      </c>
      <c r="E1" s="3477" t="s">
        <v>3</v>
      </c>
      <c r="F1" s="3451"/>
      <c r="G1" s="3451"/>
      <c r="H1" s="3452"/>
      <c r="I1" s="3477" t="s">
        <v>1221</v>
      </c>
      <c r="J1" s="3451"/>
      <c r="K1" s="3451"/>
      <c r="L1" s="3478"/>
      <c r="M1" s="3450" t="s">
        <v>1279</v>
      </c>
      <c r="N1" s="3451"/>
      <c r="O1" s="3451"/>
      <c r="P1" s="3452"/>
      <c r="Q1" s="3453" t="s">
        <v>49</v>
      </c>
    </row>
    <row r="2" spans="1:17" ht="136.9" customHeight="1">
      <c r="A2" s="3457"/>
      <c r="B2" s="3458"/>
      <c r="C2" s="3458"/>
      <c r="D2" s="3480"/>
      <c r="E2" s="382" t="s">
        <v>50</v>
      </c>
      <c r="F2" s="383" t="s">
        <v>162</v>
      </c>
      <c r="G2" s="384" t="s">
        <v>52</v>
      </c>
      <c r="H2" s="385" t="s">
        <v>606</v>
      </c>
      <c r="I2" s="382" t="s">
        <v>50</v>
      </c>
      <c r="J2" s="383" t="s">
        <v>162</v>
      </c>
      <c r="K2" s="384" t="s">
        <v>52</v>
      </c>
      <c r="L2" s="709" t="s">
        <v>606</v>
      </c>
      <c r="M2" s="382" t="s">
        <v>50</v>
      </c>
      <c r="N2" s="383" t="s">
        <v>162</v>
      </c>
      <c r="O2" s="384" t="s">
        <v>52</v>
      </c>
      <c r="P2" s="385" t="s">
        <v>606</v>
      </c>
      <c r="Q2" s="3479"/>
    </row>
    <row r="3" spans="1:17" ht="37.5">
      <c r="A3" s="996"/>
      <c r="B3" s="997"/>
      <c r="C3" s="997"/>
      <c r="D3" s="998"/>
      <c r="E3" s="386">
        <v>1</v>
      </c>
      <c r="F3" s="387">
        <v>2</v>
      </c>
      <c r="G3" s="388">
        <v>3</v>
      </c>
      <c r="H3" s="389" t="s">
        <v>653</v>
      </c>
      <c r="I3" s="386">
        <v>5</v>
      </c>
      <c r="J3" s="387">
        <v>6</v>
      </c>
      <c r="K3" s="388">
        <v>7</v>
      </c>
      <c r="L3" s="610" t="s">
        <v>54</v>
      </c>
      <c r="M3" s="386">
        <v>10</v>
      </c>
      <c r="N3" s="387">
        <v>11</v>
      </c>
      <c r="O3" s="388">
        <v>12</v>
      </c>
      <c r="P3" s="389" t="s">
        <v>1285</v>
      </c>
      <c r="Q3" s="377">
        <v>14</v>
      </c>
    </row>
    <row r="4" spans="1:17" ht="18.75">
      <c r="A4" s="401"/>
      <c r="B4" s="402"/>
      <c r="C4" s="402"/>
      <c r="D4" s="390"/>
      <c r="E4" s="403"/>
      <c r="F4" s="404"/>
      <c r="G4" s="405"/>
      <c r="H4" s="406"/>
      <c r="I4" s="403"/>
      <c r="J4" s="404"/>
      <c r="K4" s="405"/>
      <c r="L4" s="710"/>
      <c r="M4" s="403"/>
      <c r="N4" s="404"/>
      <c r="O4" s="405"/>
      <c r="P4" s="406"/>
      <c r="Q4" s="407"/>
    </row>
    <row r="5" spans="1:17" ht="38.25" thickBot="1">
      <c r="A5" s="391" t="s">
        <v>507</v>
      </c>
      <c r="B5" s="392" t="s">
        <v>206</v>
      </c>
      <c r="C5" s="393"/>
      <c r="D5" s="398"/>
      <c r="E5" s="408">
        <f>SUM(E7:E10)</f>
        <v>0</v>
      </c>
      <c r="F5" s="409">
        <f>SUM(F7:F10)</f>
        <v>0</v>
      </c>
      <c r="G5" s="410">
        <f>SUM(G6:G10)</f>
        <v>0</v>
      </c>
      <c r="H5" s="411">
        <f>SUM(H6:H10)</f>
        <v>0</v>
      </c>
      <c r="I5" s="408"/>
      <c r="J5" s="409"/>
      <c r="K5" s="410">
        <f>SUM(K6:K9)</f>
        <v>0</v>
      </c>
      <c r="L5" s="711">
        <f>SUM(L6:L10)</f>
        <v>0</v>
      </c>
      <c r="M5" s="408">
        <f>SUM(M7:M10)</f>
        <v>0</v>
      </c>
      <c r="N5" s="409"/>
      <c r="O5" s="410">
        <f>SUM(O6:O10)</f>
        <v>274323</v>
      </c>
      <c r="P5" s="411">
        <f>SUM(P6:P10)</f>
        <v>479276.47</v>
      </c>
      <c r="Q5" s="412"/>
    </row>
    <row r="6" spans="1:17" ht="19.5" thickTop="1">
      <c r="A6" s="394" t="s">
        <v>474</v>
      </c>
      <c r="B6" s="392"/>
      <c r="C6" s="396"/>
      <c r="D6" s="717" t="s">
        <v>1080</v>
      </c>
      <c r="E6" s="408"/>
      <c r="F6" s="409"/>
      <c r="G6" s="413"/>
      <c r="H6" s="414">
        <f>SUM(E6:G6)</f>
        <v>0</v>
      </c>
      <c r="I6" s="408"/>
      <c r="J6" s="409"/>
      <c r="K6" s="413"/>
      <c r="L6" s="616"/>
      <c r="M6" s="408"/>
      <c r="N6" s="718">
        <v>69574</v>
      </c>
      <c r="O6" s="413"/>
      <c r="P6" s="414">
        <f>SUM(M6:O6)</f>
        <v>69574</v>
      </c>
      <c r="Q6" s="450"/>
    </row>
    <row r="7" spans="1:17" ht="18.75">
      <c r="A7" s="394" t="s">
        <v>474</v>
      </c>
      <c r="B7" s="395"/>
      <c r="C7" s="395"/>
      <c r="D7" s="479" t="s">
        <v>1153</v>
      </c>
      <c r="E7" s="415"/>
      <c r="F7" s="416"/>
      <c r="G7" s="413"/>
      <c r="H7" s="414">
        <f>SUM(E7:G7)</f>
        <v>0</v>
      </c>
      <c r="I7" s="415"/>
      <c r="J7" s="416"/>
      <c r="K7" s="413"/>
      <c r="L7" s="616"/>
      <c r="M7" s="415"/>
      <c r="N7" s="719">
        <v>81629.67</v>
      </c>
      <c r="O7" s="413"/>
      <c r="P7" s="414">
        <f>SUM(M7:O7)</f>
        <v>81629.67</v>
      </c>
      <c r="Q7" s="450"/>
    </row>
    <row r="8" spans="1:17" ht="18.75">
      <c r="A8" s="438"/>
      <c r="B8" s="439"/>
      <c r="C8" s="439"/>
      <c r="D8" s="479" t="s">
        <v>1081</v>
      </c>
      <c r="E8" s="415"/>
      <c r="F8" s="614"/>
      <c r="G8" s="615"/>
      <c r="H8" s="616"/>
      <c r="I8" s="415"/>
      <c r="J8" s="614"/>
      <c r="K8" s="615"/>
      <c r="L8" s="616"/>
      <c r="M8" s="415"/>
      <c r="N8" s="719">
        <v>53749.8</v>
      </c>
      <c r="O8" s="509">
        <v>82371</v>
      </c>
      <c r="P8" s="414">
        <f>SUM(M8:O8)</f>
        <v>136120.79999999999</v>
      </c>
      <c r="Q8" s="617"/>
    </row>
    <row r="9" spans="1:17" ht="18.75">
      <c r="A9" s="394" t="s">
        <v>337</v>
      </c>
      <c r="B9" s="395"/>
      <c r="C9" s="395"/>
      <c r="D9" s="479" t="s">
        <v>1245</v>
      </c>
      <c r="E9" s="415"/>
      <c r="F9" s="416"/>
      <c r="G9" s="413"/>
      <c r="H9" s="414">
        <f>SUM(E9:G9)</f>
        <v>0</v>
      </c>
      <c r="I9" s="415"/>
      <c r="J9" s="416"/>
      <c r="K9" s="413"/>
      <c r="L9" s="616"/>
      <c r="M9" s="415"/>
      <c r="N9" s="416"/>
      <c r="O9" s="509">
        <v>130517</v>
      </c>
      <c r="P9" s="414">
        <f>SUM(M9:O9)</f>
        <v>130517</v>
      </c>
      <c r="Q9" s="450"/>
    </row>
    <row r="10" spans="1:17" ht="19.5" thickBot="1">
      <c r="A10" s="417" t="s">
        <v>319</v>
      </c>
      <c r="B10" s="418"/>
      <c r="C10" s="418"/>
      <c r="D10" s="479" t="s">
        <v>1246</v>
      </c>
      <c r="E10" s="419"/>
      <c r="F10" s="420"/>
      <c r="G10" s="421"/>
      <c r="H10" s="422">
        <f>SUM(E10:G10)</f>
        <v>0</v>
      </c>
      <c r="I10" s="419"/>
      <c r="J10" s="420"/>
      <c r="K10" s="421"/>
      <c r="L10" s="422">
        <f>SUM(I10)</f>
        <v>0</v>
      </c>
      <c r="M10" s="419"/>
      <c r="N10" s="420"/>
      <c r="O10" s="509">
        <v>61435</v>
      </c>
      <c r="P10" s="422">
        <f>SUM(M10:O10)</f>
        <v>61435</v>
      </c>
      <c r="Q10" s="450"/>
    </row>
    <row r="11" spans="1:17" ht="16.5" thickTop="1">
      <c r="D11" s="738" t="s">
        <v>1299</v>
      </c>
    </row>
    <row r="12" spans="1:17" ht="31.5">
      <c r="D12" s="739" t="s">
        <v>1315</v>
      </c>
      <c r="O12" s="722">
        <v>2876584.08</v>
      </c>
    </row>
    <row r="13" spans="1:17" ht="31.5">
      <c r="D13" s="739" t="s">
        <v>1316</v>
      </c>
      <c r="O13" s="722">
        <v>150000</v>
      </c>
    </row>
    <row r="14" spans="1:17" ht="15.75">
      <c r="D14" s="739" t="s">
        <v>1317</v>
      </c>
      <c r="O14" s="722">
        <v>500000</v>
      </c>
    </row>
    <row r="15" spans="1:17" ht="31.5">
      <c r="D15" s="739" t="s">
        <v>1318</v>
      </c>
      <c r="O15" s="722">
        <v>100000</v>
      </c>
    </row>
    <row r="16" spans="1:17" ht="15.75">
      <c r="D16" s="739" t="s">
        <v>1319</v>
      </c>
      <c r="O16" s="722">
        <v>199286.69</v>
      </c>
    </row>
  </sheetData>
  <mergeCells count="8">
    <mergeCell ref="I1:L1"/>
    <mergeCell ref="M1:P1"/>
    <mergeCell ref="Q1:Q2"/>
    <mergeCell ref="A1:A2"/>
    <mergeCell ref="B1:B2"/>
    <mergeCell ref="C1:C2"/>
    <mergeCell ref="D1:D2"/>
    <mergeCell ref="E1:H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3"/>
  <dimension ref="A1:I122"/>
  <sheetViews>
    <sheetView view="pageBreakPreview" topLeftCell="A11" zoomScaleNormal="100" zoomScaleSheetLayoutView="100" workbookViewId="0">
      <selection activeCell="E120" sqref="E120"/>
    </sheetView>
  </sheetViews>
  <sheetFormatPr defaultRowHeight="15.75"/>
  <cols>
    <col min="1" max="1" width="5" customWidth="1"/>
    <col min="2" max="2" width="43.140625" style="323" customWidth="1"/>
    <col min="3" max="3" width="17.42578125" style="692" hidden="1" customWidth="1"/>
    <col min="4" max="4" width="16.7109375" style="503" hidden="1" customWidth="1"/>
    <col min="5" max="5" width="16.7109375" style="503" customWidth="1"/>
    <col min="6" max="6" width="14.5703125" bestFit="1" customWidth="1"/>
    <col min="7" max="7" width="11.5703125" bestFit="1" customWidth="1"/>
    <col min="8" max="9" width="13.140625" bestFit="1" customWidth="1"/>
  </cols>
  <sheetData>
    <row r="1" spans="2:9" ht="1.5" customHeight="1" thickBot="1">
      <c r="B1" s="481"/>
      <c r="D1" s="699"/>
      <c r="E1" s="700"/>
    </row>
    <row r="2" spans="2:9" ht="15">
      <c r="B2" s="3484" t="s">
        <v>1085</v>
      </c>
      <c r="C2" s="3481" t="s">
        <v>1266</v>
      </c>
      <c r="D2" s="3483" t="s">
        <v>1267</v>
      </c>
      <c r="E2" s="3481" t="s">
        <v>1684</v>
      </c>
    </row>
    <row r="3" spans="2:9" ht="73.5" customHeight="1" thickBot="1">
      <c r="B3" s="3485"/>
      <c r="C3" s="3482"/>
      <c r="D3" s="3482"/>
      <c r="E3" s="3482"/>
    </row>
    <row r="4" spans="2:9" s="258" customFormat="1">
      <c r="B4" s="716" t="s">
        <v>1268</v>
      </c>
      <c r="C4" s="701"/>
      <c r="D4" s="702"/>
      <c r="E4" s="701"/>
    </row>
    <row r="5" spans="2:9" s="258" customFormat="1" ht="16.5" hidden="1" thickTop="1">
      <c r="B5" s="717" t="s">
        <v>1080</v>
      </c>
      <c r="C5" s="718">
        <v>69574</v>
      </c>
      <c r="D5" s="505"/>
      <c r="E5" s="694"/>
    </row>
    <row r="6" spans="2:9" s="258" customFormat="1" hidden="1">
      <c r="B6" s="479" t="s">
        <v>1153</v>
      </c>
      <c r="C6" s="719">
        <v>81629.67</v>
      </c>
      <c r="D6" s="508"/>
      <c r="E6" s="689"/>
      <c r="F6" s="433">
        <f>'[1]PRIH REBALANS'!$AJ$969</f>
        <v>0</v>
      </c>
    </row>
    <row r="7" spans="2:9" s="258" customFormat="1" hidden="1">
      <c r="B7" s="479" t="s">
        <v>1081</v>
      </c>
      <c r="C7" s="719">
        <v>53749.8</v>
      </c>
      <c r="D7" s="508"/>
      <c r="E7" s="689"/>
    </row>
    <row r="8" spans="2:9" s="258" customFormat="1" hidden="1">
      <c r="B8" s="736" t="s">
        <v>1244</v>
      </c>
      <c r="C8" s="737">
        <f>SUM(C5:C7)</f>
        <v>204953.46999999997</v>
      </c>
      <c r="D8" s="737">
        <f>SUM(D5:D7)</f>
        <v>0</v>
      </c>
      <c r="E8" s="715">
        <f>SUM(E5:E7)</f>
        <v>0</v>
      </c>
    </row>
    <row r="9" spans="2:9" s="258" customFormat="1">
      <c r="B9" s="714" t="s">
        <v>1300</v>
      </c>
      <c r="C9" s="720">
        <v>1559130</v>
      </c>
      <c r="D9" s="720"/>
      <c r="E9" s="721"/>
      <c r="F9" s="433">
        <f>'Prihodi-opći dio'!E195</f>
        <v>274323</v>
      </c>
    </row>
    <row r="10" spans="2:9" s="258" customFormat="1">
      <c r="B10" s="479" t="s">
        <v>1676</v>
      </c>
      <c r="C10" s="508"/>
      <c r="D10" s="508"/>
      <c r="E10" s="509">
        <v>522860</v>
      </c>
      <c r="F10" s="478"/>
    </row>
    <row r="11" spans="2:9" s="258" customFormat="1" ht="31.5">
      <c r="B11" s="1732" t="s">
        <v>1680</v>
      </c>
      <c r="C11" s="508"/>
      <c r="D11" s="508"/>
      <c r="E11" s="509">
        <v>134451</v>
      </c>
    </row>
    <row r="12" spans="2:9" s="258" customFormat="1" hidden="1">
      <c r="B12" s="479"/>
      <c r="C12" s="508"/>
      <c r="D12" s="508"/>
      <c r="E12" s="509"/>
      <c r="F12" s="478"/>
    </row>
    <row r="13" spans="2:9" s="258" customFormat="1" hidden="1">
      <c r="B13" s="479"/>
      <c r="C13" s="508"/>
      <c r="D13" s="508"/>
      <c r="E13" s="509"/>
      <c r="F13" s="478"/>
      <c r="G13" s="432"/>
      <c r="I13" s="432"/>
    </row>
    <row r="14" spans="2:9" s="258" customFormat="1" hidden="1">
      <c r="B14" s="736" t="s">
        <v>1342</v>
      </c>
      <c r="C14" s="737"/>
      <c r="D14" s="737"/>
      <c r="E14" s="715">
        <f>SUM(E10:E13)</f>
        <v>657311</v>
      </c>
      <c r="F14" s="478"/>
      <c r="G14" s="432"/>
      <c r="I14" s="258">
        <v>4484243</v>
      </c>
    </row>
    <row r="15" spans="2:9" s="258" customFormat="1" ht="31.5">
      <c r="B15" s="1734" t="s">
        <v>555</v>
      </c>
      <c r="C15" s="1735"/>
      <c r="D15" s="1735"/>
      <c r="E15" s="1736">
        <v>200000</v>
      </c>
      <c r="F15" s="478"/>
      <c r="G15" s="432"/>
    </row>
    <row r="16" spans="2:9" s="258" customFormat="1" ht="16.5" thickBot="1">
      <c r="B16" s="740" t="s">
        <v>1079</v>
      </c>
      <c r="C16" s="744">
        <f>SUM(C8:C12)</f>
        <v>1764083.47</v>
      </c>
      <c r="D16" s="744">
        <f>SUM(D8+D10+D11+D12)</f>
        <v>0</v>
      </c>
      <c r="E16" s="745">
        <f>E10+E15+E11</f>
        <v>857311</v>
      </c>
      <c r="F16" s="433">
        <f>'[1]PRIH REBALANS'!$AJ$217</f>
        <v>857311</v>
      </c>
      <c r="I16" s="432">
        <f>I13-I14</f>
        <v>-4484243</v>
      </c>
    </row>
    <row r="17" spans="2:6" s="258" customFormat="1" ht="16.5" hidden="1" thickBot="1">
      <c r="B17" s="481" t="s">
        <v>1682</v>
      </c>
      <c r="C17" s="692"/>
      <c r="D17" s="995"/>
      <c r="E17" s="692"/>
    </row>
    <row r="18" spans="2:6" s="258" customFormat="1" ht="16.5" hidden="1" thickTop="1">
      <c r="B18" s="738" t="s">
        <v>1299</v>
      </c>
      <c r="C18" s="505">
        <v>5470136</v>
      </c>
      <c r="D18" s="693">
        <v>1927575.18</v>
      </c>
      <c r="E18" s="694"/>
    </row>
    <row r="19" spans="2:6" s="258" customFormat="1" hidden="1">
      <c r="B19" s="739" t="s">
        <v>1315</v>
      </c>
      <c r="C19" s="508"/>
      <c r="D19" s="695"/>
      <c r="E19" s="722"/>
    </row>
    <row r="20" spans="2:6" s="258" customFormat="1" hidden="1">
      <c r="B20" s="739" t="s">
        <v>1316</v>
      </c>
      <c r="C20" s="508"/>
      <c r="D20" s="695">
        <v>94616.87</v>
      </c>
      <c r="E20" s="722"/>
    </row>
    <row r="21" spans="2:6" s="258" customFormat="1" hidden="1">
      <c r="B21" s="739" t="s">
        <v>1317</v>
      </c>
      <c r="C21" s="508"/>
      <c r="D21" s="695"/>
      <c r="E21" s="722"/>
    </row>
    <row r="22" spans="2:6" s="258" customFormat="1" ht="31.5" hidden="1">
      <c r="B22" s="739" t="s">
        <v>1318</v>
      </c>
      <c r="C22" s="508"/>
      <c r="D22" s="695"/>
      <c r="E22" s="722"/>
    </row>
    <row r="23" spans="2:6" s="258" customFormat="1" hidden="1">
      <c r="B23" s="739" t="s">
        <v>1319</v>
      </c>
      <c r="C23" s="508"/>
      <c r="D23" s="695"/>
      <c r="E23" s="722"/>
    </row>
    <row r="24" spans="2:6" s="258" customFormat="1" ht="16.5" hidden="1" thickBot="1">
      <c r="B24" s="740" t="s">
        <v>1079</v>
      </c>
      <c r="C24" s="741">
        <f>SUM(C18)</f>
        <v>5470136</v>
      </c>
      <c r="D24" s="741">
        <f>SUM(D18:D23)</f>
        <v>2022192.0499999998</v>
      </c>
      <c r="E24" s="742">
        <f>SUM(E18:E23)</f>
        <v>0</v>
      </c>
    </row>
    <row r="25" spans="2:6" s="258" customFormat="1" ht="16.5" thickTop="1">
      <c r="B25" s="323"/>
      <c r="C25" s="692"/>
      <c r="D25" s="503"/>
      <c r="E25" s="692"/>
    </row>
    <row r="26" spans="2:6" s="258" customFormat="1" ht="16.5" thickBot="1">
      <c r="B26" s="481" t="s">
        <v>1227</v>
      </c>
      <c r="C26" s="692"/>
      <c r="D26" s="503"/>
      <c r="E26" s="692"/>
    </row>
    <row r="27" spans="2:6" s="258" customFormat="1" ht="32.25" thickTop="1">
      <c r="B27" s="1733" t="s">
        <v>640</v>
      </c>
      <c r="C27" s="505">
        <v>5470136</v>
      </c>
      <c r="D27" s="693">
        <v>1927575.18</v>
      </c>
      <c r="E27" s="694">
        <v>15000</v>
      </c>
    </row>
    <row r="28" spans="2:6" s="258" customFormat="1" ht="31.5">
      <c r="B28" s="739" t="s">
        <v>644</v>
      </c>
      <c r="C28" s="508"/>
      <c r="D28" s="695"/>
      <c r="E28" s="722">
        <v>80000</v>
      </c>
      <c r="F28" s="478">
        <f>[16]kapital!$K$15</f>
        <v>2876584.08</v>
      </c>
    </row>
    <row r="29" spans="2:6" s="258" customFormat="1" hidden="1">
      <c r="B29" s="739"/>
      <c r="C29" s="508"/>
      <c r="D29" s="695">
        <v>94616.87</v>
      </c>
      <c r="E29" s="722"/>
    </row>
    <row r="30" spans="2:6" s="258" customFormat="1" hidden="1">
      <c r="B30" s="739"/>
      <c r="C30" s="508"/>
      <c r="D30" s="695"/>
      <c r="E30" s="722"/>
    </row>
    <row r="31" spans="2:6" s="258" customFormat="1" hidden="1">
      <c r="B31" s="739"/>
      <c r="C31" s="508"/>
      <c r="D31" s="695"/>
      <c r="E31" s="722"/>
    </row>
    <row r="32" spans="2:6" s="258" customFormat="1" hidden="1">
      <c r="B32" s="739"/>
      <c r="C32" s="508"/>
      <c r="D32" s="695"/>
      <c r="E32" s="722"/>
    </row>
    <row r="33" spans="2:5" s="258" customFormat="1" ht="16.5" thickBot="1">
      <c r="B33" s="740" t="s">
        <v>1079</v>
      </c>
      <c r="C33" s="741">
        <f>SUM(C27)</f>
        <v>5470136</v>
      </c>
      <c r="D33" s="741">
        <f>SUM(D27:D32)</f>
        <v>2022192.0499999998</v>
      </c>
      <c r="E33" s="742">
        <f>E27+E28</f>
        <v>95000</v>
      </c>
    </row>
    <row r="34" spans="2:5" s="258" customFormat="1" ht="16.5" thickTop="1">
      <c r="B34" s="323"/>
      <c r="C34" s="692"/>
      <c r="D34" s="503"/>
      <c r="E34" s="692"/>
    </row>
    <row r="35" spans="2:5" s="258" customFormat="1" ht="16.5" thickBot="1">
      <c r="B35" s="481" t="s">
        <v>1712</v>
      </c>
      <c r="C35" s="692"/>
      <c r="D35" s="503"/>
      <c r="E35" s="692"/>
    </row>
    <row r="36" spans="2:5" s="258" customFormat="1" ht="16.5" thickTop="1">
      <c r="B36" s="482" t="s">
        <v>1090</v>
      </c>
      <c r="C36" s="505"/>
      <c r="D36" s="505"/>
      <c r="E36" s="507"/>
    </row>
    <row r="37" spans="2:5" s="258" customFormat="1" ht="47.25">
      <c r="B37" s="713" t="s">
        <v>1683</v>
      </c>
      <c r="C37" s="723">
        <v>70000</v>
      </c>
      <c r="D37" s="723"/>
      <c r="E37" s="724">
        <v>20000</v>
      </c>
    </row>
    <row r="38" spans="2:5" s="258" customFormat="1" hidden="1">
      <c r="B38" s="713"/>
      <c r="C38" s="723">
        <v>186.14</v>
      </c>
      <c r="D38" s="723"/>
      <c r="E38" s="724"/>
    </row>
    <row r="39" spans="2:5" s="258" customFormat="1" hidden="1">
      <c r="B39" s="713"/>
      <c r="C39" s="723">
        <v>3457.29</v>
      </c>
      <c r="D39" s="723">
        <v>3457.29</v>
      </c>
      <c r="E39" s="724"/>
    </row>
    <row r="40" spans="2:5" s="258" customFormat="1" hidden="1">
      <c r="B40" s="713"/>
      <c r="C40" s="723">
        <v>3955.8</v>
      </c>
      <c r="D40" s="723"/>
      <c r="E40" s="724"/>
    </row>
    <row r="41" spans="2:5" s="258" customFormat="1" hidden="1">
      <c r="B41" s="713"/>
      <c r="C41" s="723">
        <v>1303.05</v>
      </c>
      <c r="D41" s="723"/>
      <c r="E41" s="724"/>
    </row>
    <row r="42" spans="2:5" s="258" customFormat="1" hidden="1">
      <c r="B42" s="713"/>
      <c r="C42" s="723">
        <v>11202.32</v>
      </c>
      <c r="D42" s="723"/>
      <c r="E42" s="724"/>
    </row>
    <row r="43" spans="2:5" s="258" customFormat="1" hidden="1">
      <c r="B43" s="713"/>
      <c r="C43" s="723">
        <v>5400</v>
      </c>
      <c r="D43" s="723"/>
      <c r="E43" s="724"/>
    </row>
    <row r="44" spans="2:5" s="258" customFormat="1" hidden="1">
      <c r="B44" s="725"/>
      <c r="C44" s="726">
        <v>100000</v>
      </c>
      <c r="D44" s="726">
        <v>100000</v>
      </c>
      <c r="E44" s="727"/>
    </row>
    <row r="45" spans="2:5" s="258" customFormat="1" hidden="1">
      <c r="B45" s="725"/>
      <c r="C45" s="726">
        <v>500000</v>
      </c>
      <c r="D45" s="726">
        <v>319896.94</v>
      </c>
      <c r="E45" s="727"/>
    </row>
    <row r="46" spans="2:5" s="258" customFormat="1" hidden="1">
      <c r="B46" s="713"/>
      <c r="C46" s="723">
        <v>100000</v>
      </c>
      <c r="D46" s="723"/>
      <c r="E46" s="724"/>
    </row>
    <row r="47" spans="2:5" s="258" customFormat="1" hidden="1">
      <c r="B47" s="713"/>
      <c r="C47" s="726">
        <v>175468</v>
      </c>
      <c r="D47" s="723">
        <v>155468.62</v>
      </c>
      <c r="E47" s="727"/>
    </row>
    <row r="48" spans="2:5" s="258" customFormat="1" hidden="1">
      <c r="B48" s="713"/>
      <c r="C48" s="726"/>
      <c r="D48" s="723"/>
      <c r="E48" s="727"/>
    </row>
    <row r="49" spans="2:8" s="258" customFormat="1" ht="24" hidden="1" customHeight="1">
      <c r="B49" s="713"/>
      <c r="C49" s="726"/>
      <c r="D49" s="723">
        <v>17191.84</v>
      </c>
      <c r="E49" s="727"/>
    </row>
    <row r="50" spans="2:8" s="258" customFormat="1" ht="16.5" thickBot="1">
      <c r="B50" s="743" t="s">
        <v>1082</v>
      </c>
      <c r="C50" s="744">
        <f>SUM(C37:C49)</f>
        <v>970972.6</v>
      </c>
      <c r="D50" s="744">
        <f>SUM(D36:D49)</f>
        <v>596014.68999999994</v>
      </c>
      <c r="E50" s="745">
        <f>SUM(E37:E49)</f>
        <v>20000</v>
      </c>
      <c r="F50" s="432">
        <v>985972</v>
      </c>
      <c r="G50" s="432">
        <f>F50-E50</f>
        <v>965972</v>
      </c>
      <c r="H50" s="432">
        <f>SUM(E50,E33)</f>
        <v>115000</v>
      </c>
    </row>
    <row r="51" spans="2:8" s="258" customFormat="1" ht="16.5" thickTop="1">
      <c r="B51" s="483"/>
      <c r="C51" s="691"/>
      <c r="D51" s="691"/>
      <c r="E51" s="691"/>
      <c r="H51" s="258">
        <v>4884311</v>
      </c>
    </row>
    <row r="52" spans="2:8" s="258" customFormat="1" hidden="1">
      <c r="B52" s="483"/>
      <c r="C52" s="691"/>
      <c r="D52" s="503"/>
      <c r="E52" s="691"/>
      <c r="H52" s="432">
        <f>H50-H51</f>
        <v>-4769311</v>
      </c>
    </row>
    <row r="53" spans="2:8" s="258" customFormat="1" ht="16.5" hidden="1" thickBot="1">
      <c r="B53" s="483" t="s">
        <v>1261</v>
      </c>
      <c r="C53" s="691"/>
      <c r="D53" s="503"/>
      <c r="E53" s="691"/>
    </row>
    <row r="54" spans="2:8" s="258" customFormat="1" ht="14.25" hidden="1" customHeight="1" thickTop="1">
      <c r="B54" s="489" t="s">
        <v>555</v>
      </c>
      <c r="C54" s="505">
        <v>40000</v>
      </c>
      <c r="D54" s="506"/>
      <c r="E54" s="507"/>
    </row>
    <row r="55" spans="2:8" s="258" customFormat="1" ht="14.25" hidden="1" customHeight="1">
      <c r="B55" s="490" t="s">
        <v>1265</v>
      </c>
      <c r="C55" s="508"/>
      <c r="D55" s="508"/>
      <c r="E55" s="509"/>
    </row>
    <row r="56" spans="2:8" s="258" customFormat="1" ht="15" hidden="1" customHeight="1">
      <c r="B56" s="490" t="s">
        <v>1247</v>
      </c>
      <c r="C56" s="508"/>
      <c r="D56" s="508"/>
      <c r="E56" s="509"/>
    </row>
    <row r="57" spans="2:8" s="258" customFormat="1" hidden="1">
      <c r="B57" s="490" t="s">
        <v>912</v>
      </c>
      <c r="C57" s="508"/>
      <c r="D57" s="508"/>
      <c r="E57" s="509"/>
    </row>
    <row r="58" spans="2:8" s="258" customFormat="1" ht="31.5" hidden="1">
      <c r="B58" s="728" t="s">
        <v>1507</v>
      </c>
      <c r="C58" s="508"/>
      <c r="D58" s="508"/>
      <c r="E58" s="729">
        <v>20000</v>
      </c>
    </row>
    <row r="59" spans="2:8" s="258" customFormat="1" ht="31.5" hidden="1">
      <c r="B59" s="728" t="s">
        <v>1320</v>
      </c>
      <c r="C59" s="508"/>
      <c r="D59" s="508"/>
      <c r="E59" s="729">
        <v>300000</v>
      </c>
    </row>
    <row r="60" spans="2:8" s="258" customFormat="1" hidden="1">
      <c r="B60" s="728" t="s">
        <v>1321</v>
      </c>
      <c r="C60" s="508"/>
      <c r="D60" s="508"/>
      <c r="E60" s="729">
        <v>213373.18</v>
      </c>
    </row>
    <row r="61" spans="2:8" s="258" customFormat="1" hidden="1">
      <c r="B61" s="728" t="s">
        <v>1322</v>
      </c>
      <c r="C61" s="508"/>
      <c r="D61" s="508"/>
      <c r="E61" s="729">
        <v>100000</v>
      </c>
    </row>
    <row r="62" spans="2:8" s="258" customFormat="1" hidden="1">
      <c r="B62" s="728" t="s">
        <v>1323</v>
      </c>
      <c r="C62" s="508"/>
      <c r="D62" s="508">
        <f t="shared" ref="D62" si="0">SUM(D54:D61)</f>
        <v>0</v>
      </c>
      <c r="E62" s="509">
        <v>25000</v>
      </c>
      <c r="F62" s="258">
        <v>658373.18000000005</v>
      </c>
      <c r="G62" s="432">
        <f>F62-E62</f>
        <v>633373.18000000005</v>
      </c>
    </row>
    <row r="63" spans="2:8" s="258" customFormat="1" ht="16.5" hidden="1" thickBot="1">
      <c r="B63" s="740" t="s">
        <v>1079</v>
      </c>
      <c r="C63" s="744">
        <f>SUM(C54:C62)</f>
        <v>40000</v>
      </c>
      <c r="D63" s="744">
        <f t="shared" ref="D63" si="1">SUM(D54:D62)</f>
        <v>0</v>
      </c>
      <c r="E63" s="745">
        <f>SUM(E54:E62)</f>
        <v>658373.17999999993</v>
      </c>
      <c r="H63" s="432">
        <f>SUM(E63,E110)</f>
        <v>2015236.1300000001</v>
      </c>
    </row>
    <row r="64" spans="2:8" s="258" customFormat="1" ht="16.5" hidden="1" thickTop="1">
      <c r="B64" s="483"/>
      <c r="C64" s="691"/>
      <c r="D64" s="503"/>
      <c r="E64" s="691"/>
    </row>
    <row r="65" spans="1:5" s="258" customFormat="1" ht="16.5" hidden="1" thickBot="1">
      <c r="B65" s="481" t="s">
        <v>1260</v>
      </c>
      <c r="C65" s="692"/>
      <c r="D65" s="503"/>
      <c r="E65" s="692"/>
    </row>
    <row r="66" spans="1:5" s="258" customFormat="1" ht="16.5" hidden="1" thickTop="1">
      <c r="B66" s="712" t="s">
        <v>1264</v>
      </c>
      <c r="C66" s="505">
        <v>4000</v>
      </c>
      <c r="D66" s="505">
        <v>4000</v>
      </c>
      <c r="E66" s="507">
        <v>4000</v>
      </c>
    </row>
    <row r="67" spans="1:5" s="258" customFormat="1" hidden="1">
      <c r="B67" s="713" t="s">
        <v>1264</v>
      </c>
      <c r="C67" s="508">
        <v>3000</v>
      </c>
      <c r="D67" s="508">
        <v>927.45</v>
      </c>
      <c r="E67" s="509">
        <v>3000</v>
      </c>
    </row>
    <row r="68" spans="1:5" s="258" customFormat="1" hidden="1">
      <c r="B68" s="725" t="s">
        <v>1093</v>
      </c>
      <c r="C68" s="719">
        <v>150000</v>
      </c>
      <c r="D68" s="719">
        <v>150000</v>
      </c>
      <c r="E68" s="689">
        <v>150000</v>
      </c>
    </row>
    <row r="69" spans="1:5" s="258" customFormat="1" hidden="1">
      <c r="B69" s="713" t="s">
        <v>1094</v>
      </c>
      <c r="C69" s="508">
        <v>41.63</v>
      </c>
      <c r="D69" s="508"/>
      <c r="E69" s="509">
        <v>41.63</v>
      </c>
    </row>
    <row r="70" spans="1:5" s="258" customFormat="1" hidden="1">
      <c r="B70" s="713" t="s">
        <v>1095</v>
      </c>
      <c r="C70" s="508">
        <v>44.48</v>
      </c>
      <c r="D70" s="508"/>
      <c r="E70" s="509">
        <v>44.48</v>
      </c>
    </row>
    <row r="71" spans="1:5" s="258" customFormat="1" hidden="1">
      <c r="B71" s="725" t="s">
        <v>1096</v>
      </c>
      <c r="C71" s="719">
        <v>44399.14</v>
      </c>
      <c r="D71" s="719"/>
      <c r="E71" s="689">
        <v>44399.14</v>
      </c>
    </row>
    <row r="72" spans="1:5" s="258" customFormat="1" hidden="1">
      <c r="B72" s="713" t="s">
        <v>1097</v>
      </c>
      <c r="C72" s="508">
        <v>40000</v>
      </c>
      <c r="D72" s="508"/>
      <c r="E72" s="509">
        <v>40000</v>
      </c>
    </row>
    <row r="73" spans="1:5" s="258" customFormat="1" hidden="1">
      <c r="B73" s="713" t="s">
        <v>1098</v>
      </c>
      <c r="C73" s="508">
        <v>45000</v>
      </c>
      <c r="D73" s="508"/>
      <c r="E73" s="509">
        <v>45000</v>
      </c>
    </row>
    <row r="74" spans="1:5" s="258" customFormat="1" hidden="1">
      <c r="B74" s="713" t="s">
        <v>1099</v>
      </c>
      <c r="C74" s="508">
        <v>40000</v>
      </c>
      <c r="D74" s="508"/>
      <c r="E74" s="509">
        <v>40000</v>
      </c>
    </row>
    <row r="75" spans="1:5" s="258" customFormat="1" hidden="1">
      <c r="B75" s="713" t="s">
        <v>1100</v>
      </c>
      <c r="C75" s="508">
        <v>90000</v>
      </c>
      <c r="D75" s="508"/>
      <c r="E75" s="509">
        <v>90000</v>
      </c>
    </row>
    <row r="76" spans="1:5" s="258" customFormat="1" hidden="1">
      <c r="B76" s="713" t="s">
        <v>1101</v>
      </c>
      <c r="C76" s="508">
        <v>90000</v>
      </c>
      <c r="D76" s="508"/>
      <c r="E76" s="509">
        <v>90000</v>
      </c>
    </row>
    <row r="77" spans="1:5" s="258" customFormat="1" hidden="1">
      <c r="B77" s="713" t="s">
        <v>1102</v>
      </c>
      <c r="C77" s="508">
        <v>80000</v>
      </c>
      <c r="D77" s="508"/>
      <c r="E77" s="509">
        <v>80000</v>
      </c>
    </row>
    <row r="78" spans="1:5" s="258" customFormat="1" ht="21.75" hidden="1" customHeight="1">
      <c r="B78" s="725" t="s">
        <v>1103</v>
      </c>
      <c r="C78" s="719">
        <v>110000</v>
      </c>
      <c r="D78" s="719">
        <v>110000</v>
      </c>
      <c r="E78" s="689">
        <v>110000</v>
      </c>
    </row>
    <row r="79" spans="1:5" s="258" customFormat="1" hidden="1">
      <c r="B79" s="713" t="s">
        <v>1104</v>
      </c>
      <c r="C79" s="508">
        <v>60000</v>
      </c>
      <c r="D79" s="508"/>
      <c r="E79" s="509">
        <v>60000</v>
      </c>
    </row>
    <row r="80" spans="1:5" s="258" customFormat="1" hidden="1">
      <c r="A80"/>
      <c r="B80" s="725" t="s">
        <v>1105</v>
      </c>
      <c r="C80" s="719">
        <v>30000</v>
      </c>
      <c r="D80" s="719"/>
      <c r="E80" s="689">
        <v>30000</v>
      </c>
    </row>
    <row r="81" spans="1:5" s="258" customFormat="1" hidden="1">
      <c r="A81"/>
      <c r="B81" s="713" t="s">
        <v>1106</v>
      </c>
      <c r="C81" s="508">
        <v>70000</v>
      </c>
      <c r="D81" s="508"/>
      <c r="E81" s="509">
        <v>70000</v>
      </c>
    </row>
    <row r="82" spans="1:5" s="258" customFormat="1" hidden="1">
      <c r="A82"/>
      <c r="B82" s="713" t="s">
        <v>1107</v>
      </c>
      <c r="C82" s="508">
        <v>120000</v>
      </c>
      <c r="D82" s="508"/>
      <c r="E82" s="509">
        <v>120000</v>
      </c>
    </row>
    <row r="83" spans="1:5" s="258" customFormat="1" hidden="1">
      <c r="A83"/>
      <c r="B83" s="713" t="s">
        <v>1092</v>
      </c>
      <c r="C83" s="508">
        <v>21.9</v>
      </c>
      <c r="D83" s="508"/>
      <c r="E83" s="509">
        <v>21.9</v>
      </c>
    </row>
    <row r="84" spans="1:5" s="258" customFormat="1" hidden="1">
      <c r="A84"/>
      <c r="B84" s="713" t="s">
        <v>1108</v>
      </c>
      <c r="C84" s="508">
        <v>22.78</v>
      </c>
      <c r="D84" s="508"/>
      <c r="E84" s="509">
        <v>22.78</v>
      </c>
    </row>
    <row r="85" spans="1:5" s="258" customFormat="1" hidden="1">
      <c r="A85"/>
      <c r="B85" s="713" t="s">
        <v>1109</v>
      </c>
      <c r="C85" s="508">
        <v>72.63</v>
      </c>
      <c r="D85" s="508"/>
      <c r="E85" s="509">
        <v>72.63</v>
      </c>
    </row>
    <row r="86" spans="1:5" s="258" customFormat="1" hidden="1">
      <c r="A86"/>
      <c r="B86" s="713" t="s">
        <v>1097</v>
      </c>
      <c r="C86" s="508">
        <v>22.78</v>
      </c>
      <c r="D86" s="508"/>
      <c r="E86" s="509">
        <v>22.78</v>
      </c>
    </row>
    <row r="87" spans="1:5" s="258" customFormat="1" hidden="1">
      <c r="A87"/>
      <c r="B87" s="713" t="s">
        <v>1110</v>
      </c>
      <c r="C87" s="508">
        <v>23.22</v>
      </c>
      <c r="D87" s="508"/>
      <c r="E87" s="509">
        <v>23.22</v>
      </c>
    </row>
    <row r="88" spans="1:5" s="258" customFormat="1" hidden="1">
      <c r="A88"/>
      <c r="B88" s="713" t="s">
        <v>1083</v>
      </c>
      <c r="C88" s="508">
        <v>1.17</v>
      </c>
      <c r="D88" s="508"/>
      <c r="E88" s="509">
        <v>1.17</v>
      </c>
    </row>
    <row r="89" spans="1:5" s="258" customFormat="1" hidden="1">
      <c r="A89"/>
      <c r="B89" s="713" t="s">
        <v>1111</v>
      </c>
      <c r="C89" s="508">
        <v>71</v>
      </c>
      <c r="D89" s="508"/>
      <c r="E89" s="509">
        <v>71</v>
      </c>
    </row>
    <row r="90" spans="1:5" hidden="1">
      <c r="B90" s="713" t="s">
        <v>1112</v>
      </c>
      <c r="C90" s="508">
        <v>25000</v>
      </c>
      <c r="D90" s="508"/>
      <c r="E90" s="509">
        <v>25000</v>
      </c>
    </row>
    <row r="91" spans="1:5" hidden="1">
      <c r="B91" s="713" t="s">
        <v>1091</v>
      </c>
      <c r="C91" s="508">
        <v>23.22</v>
      </c>
      <c r="D91" s="508"/>
      <c r="E91" s="509">
        <v>23.22</v>
      </c>
    </row>
    <row r="92" spans="1:5" hidden="1">
      <c r="B92" s="713" t="s">
        <v>1113</v>
      </c>
      <c r="C92" s="508">
        <v>3.34</v>
      </c>
      <c r="D92" s="508"/>
      <c r="E92" s="509">
        <v>3.34</v>
      </c>
    </row>
    <row r="93" spans="1:5" hidden="1">
      <c r="B93" s="713" t="s">
        <v>1114</v>
      </c>
      <c r="C93" s="508">
        <v>8.6199999999999992</v>
      </c>
      <c r="D93" s="508"/>
      <c r="E93" s="509">
        <v>8.6199999999999992</v>
      </c>
    </row>
    <row r="94" spans="1:5" hidden="1">
      <c r="B94" s="713" t="s">
        <v>1115</v>
      </c>
      <c r="C94" s="508">
        <v>7.3</v>
      </c>
      <c r="D94" s="508"/>
      <c r="E94" s="509">
        <v>7.3</v>
      </c>
    </row>
    <row r="95" spans="1:5" hidden="1">
      <c r="B95" s="713" t="s">
        <v>1116</v>
      </c>
      <c r="C95" s="508">
        <v>80002.679999999993</v>
      </c>
      <c r="D95" s="508"/>
      <c r="E95" s="509">
        <v>80002.679999999993</v>
      </c>
    </row>
    <row r="96" spans="1:5" hidden="1">
      <c r="B96" s="725" t="s">
        <v>1117</v>
      </c>
      <c r="C96" s="719">
        <v>31879.11</v>
      </c>
      <c r="D96" s="719">
        <v>31879.11</v>
      </c>
      <c r="E96" s="689">
        <v>31879.11</v>
      </c>
    </row>
    <row r="97" spans="2:5" ht="19.5" hidden="1" customHeight="1">
      <c r="B97" s="713" t="s">
        <v>1091</v>
      </c>
      <c r="C97" s="508">
        <v>3.65</v>
      </c>
      <c r="D97" s="508"/>
      <c r="E97" s="509">
        <v>3.65</v>
      </c>
    </row>
    <row r="98" spans="2:5" ht="18" hidden="1" customHeight="1">
      <c r="B98" s="713" t="s">
        <v>1118</v>
      </c>
      <c r="C98" s="508">
        <v>7.3</v>
      </c>
      <c r="D98" s="508"/>
      <c r="E98" s="509">
        <v>7.3</v>
      </c>
    </row>
    <row r="99" spans="2:5" hidden="1">
      <c r="B99" s="713" t="s">
        <v>1119</v>
      </c>
      <c r="C99" s="508">
        <v>16540.53</v>
      </c>
      <c r="D99" s="508"/>
      <c r="E99" s="509">
        <v>16540.53</v>
      </c>
    </row>
    <row r="100" spans="2:5" hidden="1">
      <c r="B100" s="713" t="s">
        <v>1120</v>
      </c>
      <c r="C100" s="508">
        <v>30.08</v>
      </c>
      <c r="D100" s="508"/>
      <c r="E100" s="509">
        <v>30.08</v>
      </c>
    </row>
    <row r="101" spans="2:5" hidden="1">
      <c r="B101" s="713" t="s">
        <v>1121</v>
      </c>
      <c r="C101" s="508">
        <v>16042.25</v>
      </c>
      <c r="D101" s="508"/>
      <c r="E101" s="509">
        <v>16042.25</v>
      </c>
    </row>
    <row r="102" spans="2:5" hidden="1">
      <c r="B102" s="713" t="s">
        <v>1122</v>
      </c>
      <c r="C102" s="508">
        <v>24</v>
      </c>
      <c r="D102" s="508"/>
      <c r="E102" s="509">
        <v>24</v>
      </c>
    </row>
    <row r="103" spans="2:5" hidden="1">
      <c r="B103" s="713" t="s">
        <v>1123</v>
      </c>
      <c r="C103" s="508">
        <v>48311.43</v>
      </c>
      <c r="D103" s="508"/>
      <c r="E103" s="509">
        <v>48311.43</v>
      </c>
    </row>
    <row r="104" spans="2:5" hidden="1">
      <c r="B104" s="713" t="s">
        <v>1128</v>
      </c>
      <c r="C104" s="508">
        <v>66741.75</v>
      </c>
      <c r="D104" s="508"/>
      <c r="E104" s="509">
        <v>66741.75</v>
      </c>
    </row>
    <row r="105" spans="2:5" hidden="1">
      <c r="B105" s="713" t="s">
        <v>1106</v>
      </c>
      <c r="C105" s="508">
        <v>90000</v>
      </c>
      <c r="D105" s="508"/>
      <c r="E105" s="509">
        <v>90000</v>
      </c>
    </row>
    <row r="106" spans="2:5" hidden="1">
      <c r="B106" s="713" t="s">
        <v>1127</v>
      </c>
      <c r="C106" s="508">
        <v>15.04</v>
      </c>
      <c r="D106" s="508"/>
      <c r="E106" s="509">
        <v>15.04</v>
      </c>
    </row>
    <row r="107" spans="2:5" hidden="1">
      <c r="B107" s="713" t="s">
        <v>1126</v>
      </c>
      <c r="C107" s="508">
        <v>5298.88</v>
      </c>
      <c r="D107" s="508"/>
      <c r="E107" s="509">
        <v>5298.88</v>
      </c>
    </row>
    <row r="108" spans="2:5" hidden="1">
      <c r="B108" s="713" t="s">
        <v>1125</v>
      </c>
      <c r="C108" s="508">
        <v>23.04</v>
      </c>
      <c r="D108" s="508"/>
      <c r="E108" s="509">
        <v>23.04</v>
      </c>
    </row>
    <row r="109" spans="2:5" hidden="1">
      <c r="B109" s="713" t="s">
        <v>1124</v>
      </c>
      <c r="C109" s="508">
        <v>180</v>
      </c>
      <c r="D109" s="508"/>
      <c r="E109" s="509">
        <v>180</v>
      </c>
    </row>
    <row r="110" spans="2:5" ht="16.5" hidden="1" thickBot="1">
      <c r="B110" s="740" t="s">
        <v>1079</v>
      </c>
      <c r="C110" s="744">
        <f>SUM(C66:C109)</f>
        <v>1356862.9500000002</v>
      </c>
      <c r="D110" s="744">
        <f>SUM(D66:D109)</f>
        <v>296806.56</v>
      </c>
      <c r="E110" s="745">
        <f>SUM(E66:E109)</f>
        <v>1356862.9500000002</v>
      </c>
    </row>
    <row r="111" spans="2:5" ht="16.5" hidden="1" thickTop="1">
      <c r="B111" s="480"/>
      <c r="C111" s="691"/>
      <c r="E111" s="691"/>
    </row>
    <row r="112" spans="2:5" hidden="1">
      <c r="B112" s="484"/>
      <c r="E112" s="692"/>
    </row>
    <row r="113" spans="2:7" hidden="1">
      <c r="B113" s="481" t="s">
        <v>1129</v>
      </c>
      <c r="E113" s="692"/>
    </row>
    <row r="114" spans="2:7" ht="16.5" hidden="1" thickBot="1">
      <c r="B114" s="485" t="s">
        <v>1084</v>
      </c>
      <c r="C114" s="690">
        <v>100000</v>
      </c>
      <c r="D114" s="690">
        <v>100000</v>
      </c>
      <c r="E114" s="690">
        <v>100000</v>
      </c>
    </row>
    <row r="115" spans="2:7" ht="16.5" hidden="1" thickTop="1">
      <c r="E115" s="692"/>
    </row>
    <row r="116" spans="2:7" ht="16.5" hidden="1" thickBot="1">
      <c r="B116" s="481" t="s">
        <v>1130</v>
      </c>
      <c r="E116" s="692"/>
    </row>
    <row r="117" spans="2:7" ht="17.25" hidden="1" thickTop="1" thickBot="1">
      <c r="B117" s="486" t="s">
        <v>1131</v>
      </c>
      <c r="C117" s="696">
        <v>5.29</v>
      </c>
      <c r="D117" s="696"/>
      <c r="E117" s="696">
        <v>5.29</v>
      </c>
    </row>
    <row r="118" spans="2:7" ht="16.5" hidden="1" thickTop="1">
      <c r="E118" s="692"/>
    </row>
    <row r="119" spans="2:7">
      <c r="D119" s="697"/>
      <c r="E119" s="692"/>
    </row>
    <row r="120" spans="2:7">
      <c r="B120" s="487" t="s">
        <v>1248</v>
      </c>
      <c r="C120" s="510">
        <f>SUM(C16+C33+C50+C62+C110+C114+C117)</f>
        <v>9662060.3099999987</v>
      </c>
      <c r="D120" s="698">
        <f>SUM(D16+D33+D50+D62+D110+D114+D117)</f>
        <v>3015013.3</v>
      </c>
      <c r="E120" s="510">
        <f>E50+E33+E16</f>
        <v>972311</v>
      </c>
      <c r="F120" s="209">
        <f>'[1]PRIH REBALANS'!$AJ$216</f>
        <v>972311</v>
      </c>
      <c r="G120" s="293">
        <f>E14+E33+E63</f>
        <v>1410684.18</v>
      </c>
    </row>
    <row r="121" spans="2:7">
      <c r="F121" s="293">
        <f>F120-E120</f>
        <v>0</v>
      </c>
    </row>
    <row r="122" spans="2:7">
      <c r="B122" s="488"/>
      <c r="D122" s="504"/>
      <c r="E122" s="504"/>
    </row>
  </sheetData>
  <mergeCells count="4">
    <mergeCell ref="C2:C3"/>
    <mergeCell ref="D2:D3"/>
    <mergeCell ref="B2:B3"/>
    <mergeCell ref="E2:E3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&amp;LBudžet Grada Mostara za 2022.godinu- Kapitalni grantovi&amp;C&amp;14&amp;P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4"/>
  <dimension ref="C1:I93"/>
  <sheetViews>
    <sheetView view="pageBreakPreview" zoomScaleNormal="100" zoomScaleSheetLayoutView="100" workbookViewId="0">
      <selection activeCell="A11" sqref="A11:XFD11"/>
    </sheetView>
  </sheetViews>
  <sheetFormatPr defaultRowHeight="19.899999999999999" customHeight="1"/>
  <cols>
    <col min="1" max="1" width="0.42578125" customWidth="1"/>
    <col min="2" max="2" width="2" customWidth="1"/>
    <col min="3" max="3" width="50.28515625" style="847" customWidth="1"/>
    <col min="4" max="5" width="17.7109375" style="766" hidden="1" customWidth="1"/>
    <col min="6" max="6" width="17.7109375" style="766" customWidth="1"/>
    <col min="7" max="7" width="12" customWidth="1"/>
    <col min="8" max="8" width="10.85546875" bestFit="1" customWidth="1"/>
    <col min="9" max="9" width="11.7109375" bestFit="1" customWidth="1"/>
  </cols>
  <sheetData>
    <row r="1" spans="3:9" ht="19.899999999999999" customHeight="1">
      <c r="C1" s="3489" t="s">
        <v>1259</v>
      </c>
      <c r="D1" s="3486" t="s">
        <v>1266</v>
      </c>
      <c r="E1" s="3486" t="s">
        <v>1262</v>
      </c>
      <c r="F1" s="3486" t="s">
        <v>1652</v>
      </c>
    </row>
    <row r="2" spans="3:9" ht="19.899999999999999" customHeight="1">
      <c r="C2" s="3490"/>
      <c r="D2" s="3487"/>
      <c r="E2" s="3487"/>
      <c r="F2" s="3487"/>
    </row>
    <row r="3" spans="3:9" ht="38.450000000000003" customHeight="1" thickBot="1">
      <c r="C3" s="3491"/>
      <c r="D3" s="3488"/>
      <c r="E3" s="3488"/>
      <c r="F3" s="3488"/>
    </row>
    <row r="4" spans="3:9" s="286" customFormat="1" ht="19.899999999999999" hidden="1" customHeight="1" thickBot="1">
      <c r="C4" s="812" t="s">
        <v>1077</v>
      </c>
      <c r="D4" s="759"/>
      <c r="E4" s="759"/>
      <c r="F4" s="760"/>
    </row>
    <row r="5" spans="3:9" ht="19.899999999999999" hidden="1" customHeight="1" thickBot="1">
      <c r="C5" s="813" t="s">
        <v>1078</v>
      </c>
      <c r="D5" s="761">
        <v>7264.82</v>
      </c>
      <c r="E5" s="761"/>
      <c r="F5" s="761">
        <v>7264.82</v>
      </c>
    </row>
    <row r="6" spans="3:9" ht="19.899999999999999" hidden="1" customHeight="1" thickBot="1">
      <c r="C6" s="813" t="s">
        <v>1078</v>
      </c>
      <c r="D6" s="761">
        <v>16970.419999999998</v>
      </c>
      <c r="E6" s="761"/>
      <c r="F6" s="761">
        <v>16970.419999999998</v>
      </c>
    </row>
    <row r="7" spans="3:9" ht="19.899999999999999" hidden="1" customHeight="1" thickBot="1">
      <c r="C7" s="813" t="s">
        <v>1078</v>
      </c>
      <c r="D7" s="761">
        <v>11999.08</v>
      </c>
      <c r="E7" s="761"/>
      <c r="F7" s="761">
        <v>11999.08</v>
      </c>
    </row>
    <row r="8" spans="3:9" ht="19.899999999999999" hidden="1" customHeight="1" thickBot="1">
      <c r="C8" s="814" t="s">
        <v>1249</v>
      </c>
      <c r="D8" s="762">
        <v>36234.32</v>
      </c>
      <c r="E8" s="763"/>
      <c r="F8" s="763">
        <v>36234.32</v>
      </c>
    </row>
    <row r="9" spans="3:9" ht="19.899999999999999" hidden="1" customHeight="1" thickTop="1">
      <c r="C9" s="1729"/>
      <c r="D9" s="1730"/>
      <c r="E9" s="1731"/>
      <c r="F9" s="1731"/>
    </row>
    <row r="10" spans="3:9" ht="19.899999999999999" hidden="1" customHeight="1">
      <c r="C10" s="1729"/>
      <c r="D10" s="1730"/>
      <c r="E10" s="1731"/>
      <c r="F10" s="1731"/>
    </row>
    <row r="11" spans="3:9" ht="19.899999999999999" customHeight="1" thickBot="1">
      <c r="C11" s="813" t="s">
        <v>1250</v>
      </c>
      <c r="D11" s="761"/>
      <c r="E11" s="764">
        <v>87043.21</v>
      </c>
      <c r="F11" s="2403">
        <v>350000</v>
      </c>
      <c r="G11" s="455">
        <f>'[1]PRIH REBALANS'!$AJ$1039</f>
        <v>0</v>
      </c>
      <c r="I11" s="293" t="e">
        <f>F11+F37+F36+F35+F42+F80+F56+#REF!+F20+F21</f>
        <v>#REF!</v>
      </c>
    </row>
    <row r="12" spans="3:9" ht="19.899999999999999" customHeight="1" thickBot="1">
      <c r="C12" s="815" t="s">
        <v>1079</v>
      </c>
      <c r="D12" s="765">
        <f>SUM(D8:D11)</f>
        <v>36234.32</v>
      </c>
      <c r="E12" s="765" t="e">
        <f>SUM(E8+#REF!+E11)</f>
        <v>#REF!</v>
      </c>
      <c r="F12" s="765">
        <f>F11</f>
        <v>350000</v>
      </c>
      <c r="I12">
        <v>1977773</v>
      </c>
    </row>
    <row r="13" spans="3:9" ht="19.899999999999999" customHeight="1">
      <c r="C13" s="816"/>
      <c r="I13" s="293" t="e">
        <f>I12-I11</f>
        <v>#REF!</v>
      </c>
    </row>
    <row r="14" spans="3:9" ht="19.899999999999999" customHeight="1" thickBot="1">
      <c r="C14" s="817" t="s">
        <v>1251</v>
      </c>
    </row>
    <row r="15" spans="3:9" ht="19.899999999999999" customHeight="1" thickTop="1">
      <c r="C15" s="818" t="s">
        <v>1132</v>
      </c>
      <c r="D15" s="767"/>
      <c r="E15" s="767"/>
      <c r="F15" s="768"/>
    </row>
    <row r="16" spans="3:9" ht="19.899999999999999" hidden="1" customHeight="1">
      <c r="C16" s="819" t="s">
        <v>1519</v>
      </c>
      <c r="D16" s="769">
        <v>8817</v>
      </c>
      <c r="E16" s="769"/>
      <c r="F16" s="770">
        <v>8817</v>
      </c>
    </row>
    <row r="17" spans="3:7" ht="19.899999999999999" hidden="1" customHeight="1">
      <c r="C17" s="819" t="s">
        <v>1520</v>
      </c>
      <c r="D17" s="769">
        <v>27634.720000000001</v>
      </c>
      <c r="E17" s="769">
        <v>710</v>
      </c>
      <c r="F17" s="770">
        <v>27634.720000000001</v>
      </c>
    </row>
    <row r="18" spans="3:7" ht="19.899999999999999" hidden="1" customHeight="1">
      <c r="C18" s="819" t="s">
        <v>1520</v>
      </c>
      <c r="D18" s="769">
        <v>12500</v>
      </c>
      <c r="E18" s="769"/>
      <c r="F18" s="770">
        <v>12500</v>
      </c>
    </row>
    <row r="19" spans="3:7" ht="19.899999999999999" hidden="1" customHeight="1">
      <c r="C19" s="820" t="s">
        <v>1249</v>
      </c>
      <c r="D19" s="771">
        <f>SUM(D16:D18)</f>
        <v>48951.72</v>
      </c>
      <c r="E19" s="771">
        <f>SUM(E16:E18)</f>
        <v>710</v>
      </c>
      <c r="F19" s="772">
        <f>SUM(F16:F18)</f>
        <v>48951.72</v>
      </c>
    </row>
    <row r="20" spans="3:7" ht="19.899999999999999" customHeight="1">
      <c r="C20" s="819" t="s">
        <v>1681</v>
      </c>
      <c r="D20" s="769"/>
      <c r="E20" s="769"/>
      <c r="F20" s="770">
        <v>250000</v>
      </c>
      <c r="G20" s="209">
        <f>'[1]PRIH REBALANS'!$AJ$345</f>
        <v>250000</v>
      </c>
    </row>
    <row r="21" spans="3:7" ht="19.899999999999999" hidden="1" customHeight="1">
      <c r="C21" s="819" t="s">
        <v>1298</v>
      </c>
      <c r="D21" s="769"/>
      <c r="E21" s="769"/>
      <c r="F21" s="770">
        <v>1500</v>
      </c>
    </row>
    <row r="22" spans="3:7" ht="19.899999999999999" customHeight="1">
      <c r="C22" s="820" t="s">
        <v>1503</v>
      </c>
      <c r="D22" s="771"/>
      <c r="E22" s="771"/>
      <c r="F22" s="772">
        <f>SUM(F20)</f>
        <v>250000</v>
      </c>
    </row>
    <row r="23" spans="3:7" ht="19.899999999999999" hidden="1" customHeight="1" thickBot="1">
      <c r="C23" s="821" t="s">
        <v>1079</v>
      </c>
      <c r="D23" s="773">
        <f>SUM(D19:D20)</f>
        <v>48951.72</v>
      </c>
      <c r="E23" s="773">
        <f>SUM(E19+E20)</f>
        <v>710</v>
      </c>
      <c r="F23" s="774"/>
    </row>
    <row r="24" spans="3:7" ht="19.899999999999999" customHeight="1">
      <c r="C24" s="816"/>
      <c r="G24" s="293"/>
    </row>
    <row r="25" spans="3:7" ht="19.899999999999999" customHeight="1" thickBot="1">
      <c r="C25" s="822" t="s">
        <v>1252</v>
      </c>
    </row>
    <row r="26" spans="3:7" ht="19.899999999999999" customHeight="1" thickTop="1" thickBot="1">
      <c r="C26" s="823" t="s">
        <v>1133</v>
      </c>
      <c r="D26" s="775"/>
      <c r="E26" s="775"/>
      <c r="F26" s="775"/>
    </row>
    <row r="27" spans="3:7" ht="19.899999999999999" hidden="1" customHeight="1" thickBot="1">
      <c r="C27" s="813" t="s">
        <v>1134</v>
      </c>
      <c r="D27" s="761">
        <v>8000</v>
      </c>
      <c r="E27" s="761"/>
      <c r="F27" s="761">
        <v>8000</v>
      </c>
    </row>
    <row r="28" spans="3:7" ht="19.899999999999999" hidden="1" customHeight="1" thickBot="1">
      <c r="C28" s="813" t="s">
        <v>1136</v>
      </c>
      <c r="D28" s="761">
        <v>5000</v>
      </c>
      <c r="E28" s="761"/>
      <c r="F28" s="761">
        <v>5000</v>
      </c>
    </row>
    <row r="29" spans="3:7" ht="19.899999999999999" hidden="1" customHeight="1" thickBot="1">
      <c r="C29" s="813" t="s">
        <v>356</v>
      </c>
      <c r="D29" s="761">
        <v>5000</v>
      </c>
      <c r="E29" s="761"/>
      <c r="F29" s="761">
        <v>5000</v>
      </c>
    </row>
    <row r="30" spans="3:7" ht="19.899999999999999" hidden="1" customHeight="1" thickBot="1">
      <c r="C30" s="813" t="s">
        <v>1263</v>
      </c>
      <c r="D30" s="761">
        <v>31756.25</v>
      </c>
      <c r="E30" s="761">
        <v>31756.25</v>
      </c>
      <c r="F30" s="761">
        <v>31756.25</v>
      </c>
    </row>
    <row r="31" spans="3:7" ht="19.899999999999999" hidden="1" customHeight="1" thickBot="1">
      <c r="C31" s="813" t="s">
        <v>1137</v>
      </c>
      <c r="D31" s="761">
        <v>125000</v>
      </c>
      <c r="E31" s="761">
        <v>125000</v>
      </c>
      <c r="F31" s="761">
        <v>125000</v>
      </c>
    </row>
    <row r="32" spans="3:7" s="335" customFormat="1" ht="19.899999999999999" hidden="1" customHeight="1" thickBot="1">
      <c r="C32" s="824" t="s">
        <v>1253</v>
      </c>
      <c r="D32" s="776">
        <v>9041</v>
      </c>
      <c r="E32" s="776"/>
      <c r="F32" s="776">
        <v>9041</v>
      </c>
    </row>
    <row r="33" spans="3:7" ht="19.899999999999999" hidden="1" customHeight="1" thickBot="1">
      <c r="C33" s="813" t="s">
        <v>1138</v>
      </c>
      <c r="D33" s="761">
        <v>10000</v>
      </c>
      <c r="E33" s="761"/>
      <c r="F33" s="761">
        <v>10000</v>
      </c>
    </row>
    <row r="34" spans="3:7" ht="19.899999999999999" hidden="1" customHeight="1" thickBot="1">
      <c r="C34" s="814" t="s">
        <v>1249</v>
      </c>
      <c r="D34" s="763">
        <f>SUM(D27:D33)</f>
        <v>193797.25</v>
      </c>
      <c r="E34" s="763">
        <f>SUM(E27:E33)</f>
        <v>156756.25</v>
      </c>
      <c r="F34" s="763">
        <f>SUM(F27:F33)</f>
        <v>193797.25</v>
      </c>
    </row>
    <row r="35" spans="3:7" ht="44.25" customHeight="1" thickTop="1">
      <c r="C35" s="825" t="s">
        <v>330</v>
      </c>
      <c r="D35" s="777"/>
      <c r="E35" s="777">
        <v>21043.75</v>
      </c>
      <c r="F35" s="778">
        <v>25000</v>
      </c>
    </row>
    <row r="36" spans="3:7" ht="43.5" customHeight="1">
      <c r="C36" s="819" t="s">
        <v>333</v>
      </c>
      <c r="D36" s="779"/>
      <c r="E36" s="779"/>
      <c r="F36" s="780">
        <v>25000</v>
      </c>
    </row>
    <row r="37" spans="3:7" ht="19.899999999999999" customHeight="1">
      <c r="C37" s="819" t="s">
        <v>1137</v>
      </c>
      <c r="D37" s="779"/>
      <c r="E37" s="779"/>
      <c r="F37" s="780"/>
    </row>
    <row r="38" spans="3:7" ht="19.899999999999999" customHeight="1" thickBot="1">
      <c r="C38" s="826" t="s">
        <v>1503</v>
      </c>
      <c r="D38" s="781"/>
      <c r="E38" s="781"/>
      <c r="F38" s="782">
        <f>SUM(F35:F37)</f>
        <v>50000</v>
      </c>
    </row>
    <row r="39" spans="3:7" ht="19.899999999999999" hidden="1" customHeight="1" thickTop="1" thickBot="1">
      <c r="C39" s="815" t="s">
        <v>1079</v>
      </c>
      <c r="D39" s="765">
        <f>SUM(D34:D35)</f>
        <v>193797.25</v>
      </c>
      <c r="E39" s="765">
        <f>SUM(E34+E35)</f>
        <v>177800</v>
      </c>
      <c r="F39" s="765">
        <f>F34+F38</f>
        <v>243797.25</v>
      </c>
    </row>
    <row r="40" spans="3:7" ht="19.899999999999999" customHeight="1" thickTop="1">
      <c r="C40" s="827"/>
      <c r="D40" s="783"/>
      <c r="E40" s="783"/>
      <c r="F40" s="783"/>
    </row>
    <row r="41" spans="3:7" ht="19.899999999999999" hidden="1" customHeight="1" thickTop="1" thickBot="1">
      <c r="C41" s="823" t="s">
        <v>1254</v>
      </c>
      <c r="D41" s="775"/>
      <c r="E41" s="775"/>
      <c r="F41" s="775"/>
    </row>
    <row r="42" spans="3:7" ht="19.899999999999999" hidden="1" customHeight="1" thickBot="1">
      <c r="C42" s="813" t="s">
        <v>1255</v>
      </c>
      <c r="D42" s="761"/>
      <c r="E42" s="761"/>
      <c r="F42" s="761">
        <v>25000</v>
      </c>
    </row>
    <row r="43" spans="3:7" ht="19.899999999999999" hidden="1" customHeight="1" thickBot="1">
      <c r="C43" s="815" t="s">
        <v>1079</v>
      </c>
      <c r="D43" s="765">
        <f>SUM(D42)</f>
        <v>0</v>
      </c>
      <c r="E43" s="765">
        <f>SUM(E42)</f>
        <v>0</v>
      </c>
      <c r="F43" s="765">
        <v>25000</v>
      </c>
    </row>
    <row r="44" spans="3:7" ht="19.899999999999999" customHeight="1" thickBot="1">
      <c r="C44" s="817"/>
    </row>
    <row r="45" spans="3:7" ht="19.899999999999999" customHeight="1" thickTop="1">
      <c r="C45" s="818" t="s">
        <v>1151</v>
      </c>
      <c r="D45" s="768"/>
      <c r="E45" s="768"/>
      <c r="F45" s="768"/>
    </row>
    <row r="46" spans="3:7" ht="19.899999999999999" hidden="1" customHeight="1">
      <c r="C46" s="828"/>
      <c r="D46" s="784"/>
      <c r="E46" s="784"/>
      <c r="F46" s="784"/>
    </row>
    <row r="47" spans="3:7" ht="19.899999999999999" hidden="1" customHeight="1">
      <c r="C47" s="829"/>
      <c r="D47" s="785"/>
      <c r="E47" s="785"/>
      <c r="F47" s="785"/>
      <c r="G47" s="325"/>
    </row>
    <row r="48" spans="3:7" ht="19.899999999999999" hidden="1" customHeight="1">
      <c r="C48" s="830"/>
      <c r="D48" s="786"/>
      <c r="E48" s="786"/>
      <c r="F48" s="786"/>
      <c r="G48" s="325"/>
    </row>
    <row r="49" spans="3:8" ht="19.899999999999999" hidden="1" customHeight="1">
      <c r="C49" s="829"/>
      <c r="D49" s="785"/>
      <c r="E49" s="785"/>
      <c r="F49" s="785"/>
      <c r="G49" s="325"/>
    </row>
    <row r="50" spans="3:8" ht="19.899999999999999" hidden="1" customHeight="1">
      <c r="C50" s="830"/>
      <c r="D50" s="786"/>
      <c r="E50" s="786"/>
      <c r="F50" s="786"/>
      <c r="G50" s="325"/>
    </row>
    <row r="51" spans="3:8" ht="19.899999999999999" hidden="1" customHeight="1">
      <c r="C51" s="829"/>
      <c r="D51" s="785"/>
      <c r="E51" s="785"/>
      <c r="F51" s="785"/>
      <c r="G51" s="325"/>
    </row>
    <row r="52" spans="3:8" ht="19.899999999999999" hidden="1" customHeight="1">
      <c r="C52" s="831"/>
      <c r="D52" s="787"/>
      <c r="E52" s="787"/>
      <c r="F52" s="787"/>
      <c r="G52" s="325"/>
    </row>
    <row r="53" spans="3:8" ht="19.899999999999999" hidden="1" customHeight="1">
      <c r="C53" s="832"/>
      <c r="D53" s="788"/>
      <c r="E53" s="788"/>
      <c r="F53" s="788"/>
      <c r="G53" s="325"/>
    </row>
    <row r="54" spans="3:8" ht="19.899999999999999" hidden="1" customHeight="1">
      <c r="C54" s="832"/>
      <c r="D54" s="788"/>
      <c r="E54" s="788"/>
      <c r="F54" s="788"/>
      <c r="G54" s="325"/>
    </row>
    <row r="55" spans="3:8" ht="37.5" customHeight="1">
      <c r="C55" s="833" t="s">
        <v>340</v>
      </c>
      <c r="D55" s="789"/>
      <c r="E55" s="789"/>
      <c r="F55" s="789">
        <v>150000</v>
      </c>
      <c r="G55" s="1091">
        <f>F55+F35</f>
        <v>175000</v>
      </c>
    </row>
    <row r="56" spans="3:8" ht="19.899999999999999" customHeight="1" thickBot="1">
      <c r="C56" s="834" t="s">
        <v>606</v>
      </c>
      <c r="D56" s="790">
        <f>SUM(D46:D51)</f>
        <v>0</v>
      </c>
      <c r="E56" s="790">
        <f>SUM(E46:E51)</f>
        <v>0</v>
      </c>
      <c r="F56" s="790">
        <f>SUM(F46:F55)</f>
        <v>150000</v>
      </c>
      <c r="G56" s="477">
        <f>H56-F56</f>
        <v>1290560</v>
      </c>
      <c r="H56">
        <v>1440560</v>
      </c>
    </row>
    <row r="57" spans="3:8" ht="19.899999999999999" customHeight="1" thickTop="1">
      <c r="C57" s="835"/>
      <c r="D57" s="791"/>
      <c r="E57" s="791"/>
      <c r="F57" s="791"/>
      <c r="G57" s="325"/>
    </row>
    <row r="58" spans="3:8" ht="36" hidden="1" customHeight="1" thickTop="1">
      <c r="C58" s="818" t="s">
        <v>1521</v>
      </c>
      <c r="D58" s="768"/>
      <c r="E58" s="768"/>
      <c r="F58" s="768"/>
    </row>
    <row r="59" spans="3:8" ht="19.899999999999999" hidden="1" customHeight="1">
      <c r="C59" s="836" t="s">
        <v>1140</v>
      </c>
      <c r="D59" s="792">
        <v>30000</v>
      </c>
      <c r="E59" s="792"/>
      <c r="F59" s="792">
        <v>30000</v>
      </c>
    </row>
    <row r="60" spans="3:8" ht="19.899999999999999" hidden="1" customHeight="1">
      <c r="C60" s="836" t="s">
        <v>1141</v>
      </c>
      <c r="D60" s="792">
        <v>10000</v>
      </c>
      <c r="E60" s="792"/>
      <c r="F60" s="792">
        <v>10000</v>
      </c>
    </row>
    <row r="61" spans="3:8" ht="19.899999999999999" hidden="1" customHeight="1">
      <c r="C61" s="836" t="s">
        <v>1142</v>
      </c>
      <c r="D61" s="792">
        <v>5183.84</v>
      </c>
      <c r="E61" s="792"/>
      <c r="F61" s="792">
        <v>5183.84</v>
      </c>
    </row>
    <row r="62" spans="3:8" ht="19.899999999999999" hidden="1" customHeight="1">
      <c r="C62" s="836" t="s">
        <v>1143</v>
      </c>
      <c r="D62" s="792">
        <v>14605.13</v>
      </c>
      <c r="E62" s="792"/>
      <c r="F62" s="792">
        <v>14605.13</v>
      </c>
    </row>
    <row r="63" spans="3:8" ht="19.899999999999999" hidden="1" customHeight="1">
      <c r="C63" s="836" t="s">
        <v>1144</v>
      </c>
      <c r="D63" s="793">
        <v>525.74</v>
      </c>
      <c r="E63" s="793"/>
      <c r="F63" s="793">
        <v>525.74</v>
      </c>
    </row>
    <row r="64" spans="3:8" ht="19.899999999999999" hidden="1" customHeight="1">
      <c r="C64" s="836" t="s">
        <v>1145</v>
      </c>
      <c r="D64" s="793">
        <v>500</v>
      </c>
      <c r="E64" s="793"/>
      <c r="F64" s="793">
        <v>500</v>
      </c>
    </row>
    <row r="65" spans="3:7" ht="19.899999999999999" hidden="1" customHeight="1">
      <c r="C65" s="836" t="s">
        <v>1146</v>
      </c>
      <c r="D65" s="792">
        <v>15000</v>
      </c>
      <c r="E65" s="792"/>
      <c r="F65" s="792">
        <v>15000</v>
      </c>
    </row>
    <row r="66" spans="3:7" ht="19.899999999999999" hidden="1" customHeight="1">
      <c r="C66" s="836" t="s">
        <v>1147</v>
      </c>
      <c r="D66" s="792">
        <v>100000</v>
      </c>
      <c r="E66" s="792"/>
      <c r="F66" s="792">
        <v>100000</v>
      </c>
    </row>
    <row r="67" spans="3:7" ht="19.899999999999999" hidden="1" customHeight="1">
      <c r="C67" s="836" t="s">
        <v>1148</v>
      </c>
      <c r="D67" s="792">
        <v>20000</v>
      </c>
      <c r="E67" s="792"/>
      <c r="F67" s="792">
        <v>20000</v>
      </c>
    </row>
    <row r="68" spans="3:7" ht="19.899999999999999" hidden="1" customHeight="1">
      <c r="C68" s="836" t="s">
        <v>1149</v>
      </c>
      <c r="D68" s="793"/>
      <c r="E68" s="793"/>
      <c r="F68" s="793"/>
    </row>
    <row r="69" spans="3:7" ht="19.899999999999999" hidden="1" customHeight="1">
      <c r="C69" s="836" t="s">
        <v>1150</v>
      </c>
      <c r="D69" s="794">
        <v>50000</v>
      </c>
      <c r="E69" s="794"/>
      <c r="F69" s="794">
        <v>50000</v>
      </c>
    </row>
    <row r="70" spans="3:7" ht="19.899999999999999" hidden="1" customHeight="1" thickBot="1">
      <c r="C70" s="837" t="s">
        <v>606</v>
      </c>
      <c r="D70" s="795">
        <f>SUM(D59:D69)</f>
        <v>245814.71</v>
      </c>
      <c r="E70" s="795">
        <f>SUM(E59:E69)</f>
        <v>0</v>
      </c>
      <c r="F70" s="795">
        <f>SUM(F59:F69)</f>
        <v>245814.71</v>
      </c>
      <c r="G70" s="293">
        <f>[17]List1!$F$46</f>
        <v>245814.6</v>
      </c>
    </row>
    <row r="71" spans="3:7" ht="19.899999999999999" customHeight="1">
      <c r="C71" s="838"/>
      <c r="D71" s="796"/>
      <c r="E71" s="796"/>
      <c r="F71" s="796"/>
    </row>
    <row r="72" spans="3:7" ht="19.899999999999999" hidden="1" customHeight="1" thickTop="1">
      <c r="C72" s="818" t="s">
        <v>1256</v>
      </c>
      <c r="D72" s="767"/>
      <c r="E72" s="767"/>
      <c r="F72" s="768"/>
    </row>
    <row r="73" spans="3:7" ht="19.899999999999999" hidden="1" customHeight="1">
      <c r="C73" s="839" t="s">
        <v>1257</v>
      </c>
      <c r="D73" s="779"/>
      <c r="E73" s="779"/>
      <c r="F73" s="797">
        <v>7500</v>
      </c>
    </row>
    <row r="74" spans="3:7" ht="19.899999999999999" hidden="1" customHeight="1">
      <c r="C74" s="839" t="s">
        <v>1257</v>
      </c>
      <c r="D74" s="779"/>
      <c r="E74" s="779"/>
      <c r="F74" s="797">
        <v>10000</v>
      </c>
    </row>
    <row r="75" spans="3:7" ht="19.899999999999999" hidden="1" customHeight="1">
      <c r="C75" s="839" t="s">
        <v>1257</v>
      </c>
      <c r="D75" s="779"/>
      <c r="E75" s="779"/>
      <c r="F75" s="797">
        <v>3000</v>
      </c>
    </row>
    <row r="76" spans="3:7" ht="19.899999999999999" hidden="1" customHeight="1">
      <c r="C76" s="839" t="s">
        <v>1257</v>
      </c>
      <c r="D76" s="779"/>
      <c r="E76" s="779"/>
      <c r="F76" s="797">
        <v>3000</v>
      </c>
    </row>
    <row r="77" spans="3:7" ht="19.899999999999999" hidden="1" customHeight="1">
      <c r="C77" s="839" t="s">
        <v>1257</v>
      </c>
      <c r="D77" s="779"/>
      <c r="E77" s="779"/>
      <c r="F77" s="797">
        <v>1500</v>
      </c>
    </row>
    <row r="78" spans="3:7" ht="19.899999999999999" hidden="1" customHeight="1">
      <c r="C78" s="839" t="s">
        <v>1257</v>
      </c>
      <c r="D78" s="779"/>
      <c r="E78" s="779"/>
      <c r="F78" s="797">
        <v>5000</v>
      </c>
    </row>
    <row r="79" spans="3:7" ht="19.899999999999999" hidden="1" customHeight="1">
      <c r="C79" s="839" t="s">
        <v>1257</v>
      </c>
      <c r="D79" s="779"/>
      <c r="E79" s="779"/>
      <c r="F79" s="797">
        <v>9090</v>
      </c>
    </row>
    <row r="80" spans="3:7" ht="19.899999999999999" hidden="1" customHeight="1" thickBot="1">
      <c r="C80" s="840" t="s">
        <v>1079</v>
      </c>
      <c r="D80" s="798">
        <f>SUM(D73)</f>
        <v>0</v>
      </c>
      <c r="E80" s="798">
        <f>SUM(E73)</f>
        <v>0</v>
      </c>
      <c r="F80" s="799">
        <f>SUM(F73:F79)</f>
        <v>39090</v>
      </c>
    </row>
    <row r="81" spans="3:8" ht="19.899999999999999" customHeight="1">
      <c r="C81" s="841"/>
      <c r="D81" s="796"/>
      <c r="E81" s="796"/>
      <c r="F81" s="796"/>
    </row>
    <row r="82" spans="3:8" ht="19.899999999999999" hidden="1" customHeight="1" thickBot="1">
      <c r="C82" s="835" t="s">
        <v>1522</v>
      </c>
    </row>
    <row r="83" spans="3:8" ht="19.899999999999999" hidden="1" customHeight="1" thickTop="1">
      <c r="C83" s="842" t="s">
        <v>1152</v>
      </c>
      <c r="D83" s="800"/>
      <c r="E83" s="800"/>
      <c r="F83" s="801"/>
    </row>
    <row r="84" spans="3:8" ht="19.899999999999999" hidden="1" customHeight="1">
      <c r="C84" s="843" t="s">
        <v>1139</v>
      </c>
      <c r="D84" s="802">
        <v>5000</v>
      </c>
      <c r="E84" s="802"/>
      <c r="F84" s="803">
        <v>5000</v>
      </c>
    </row>
    <row r="85" spans="3:8" ht="19.899999999999999" hidden="1" customHeight="1">
      <c r="C85" s="843" t="s">
        <v>1135</v>
      </c>
      <c r="D85" s="802">
        <v>5005</v>
      </c>
      <c r="E85" s="802"/>
      <c r="F85" s="803">
        <v>5005</v>
      </c>
    </row>
    <row r="86" spans="3:8" ht="19.899999999999999" hidden="1" customHeight="1">
      <c r="C86" s="844" t="s">
        <v>606</v>
      </c>
      <c r="D86" s="804">
        <f>SUM(D84:D85)</f>
        <v>10005</v>
      </c>
      <c r="E86" s="804">
        <f>SUM(E84:E85)</f>
        <v>0</v>
      </c>
      <c r="F86" s="805">
        <f>SUM(F84:F85)</f>
        <v>10005</v>
      </c>
    </row>
    <row r="87" spans="3:8" ht="19.899999999999999" hidden="1" customHeight="1">
      <c r="C87" s="844"/>
      <c r="D87" s="804">
        <v>215000</v>
      </c>
      <c r="E87" s="804"/>
      <c r="F87" s="805"/>
    </row>
    <row r="88" spans="3:8" ht="19.899999999999999" customHeight="1" thickBot="1">
      <c r="C88" s="845" t="s">
        <v>1258</v>
      </c>
      <c r="D88" s="806">
        <f>SUM(D12+D23+D39+D43+D56+D70+D80+D86)</f>
        <v>534803</v>
      </c>
      <c r="E88" s="806" t="e">
        <f>SUM(E12+E23+E39+E43+E56+E70+E80+E86)</f>
        <v>#REF!</v>
      </c>
      <c r="F88" s="807">
        <f>F12+F22+F38+F56</f>
        <v>800000</v>
      </c>
      <c r="G88" s="293">
        <f>'[1]PRIH REBALANS'!$AJ$202</f>
        <v>800000</v>
      </c>
      <c r="H88" s="293">
        <f>G88-F88</f>
        <v>0</v>
      </c>
    </row>
    <row r="89" spans="3:8" ht="19.899999999999999" customHeight="1" thickTop="1">
      <c r="C89" s="846"/>
      <c r="D89" s="808"/>
      <c r="E89" s="809"/>
      <c r="F89" s="810"/>
      <c r="G89" s="293"/>
    </row>
    <row r="90" spans="3:8" ht="19.899999999999999" customHeight="1">
      <c r="D90" s="811"/>
      <c r="F90" s="811"/>
      <c r="G90" s="209"/>
    </row>
    <row r="93" spans="3:8" ht="19.899999999999999" customHeight="1">
      <c r="E93" s="766" t="s">
        <v>1310</v>
      </c>
    </row>
  </sheetData>
  <mergeCells count="4">
    <mergeCell ref="D1:D3"/>
    <mergeCell ref="F1:F3"/>
    <mergeCell ref="C1:C3"/>
    <mergeCell ref="E1:E3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&amp;L&amp;"Times New Roman,Uobičajeno"&amp;14&amp;K00-014Budžet Grada Mostara za 2022.godinu-Tekući grantovi&amp;C&amp;14&amp;P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5"/>
  <dimension ref="A1:J27"/>
  <sheetViews>
    <sheetView view="pageBreakPreview" zoomScale="115" zoomScaleSheetLayoutView="115" workbookViewId="0">
      <selection activeCell="F27" sqref="F27"/>
    </sheetView>
  </sheetViews>
  <sheetFormatPr defaultRowHeight="15"/>
  <cols>
    <col min="1" max="1" width="35" customWidth="1"/>
    <col min="2" max="6" width="16.140625" style="245" customWidth="1"/>
    <col min="7" max="7" width="12.42578125" customWidth="1"/>
    <col min="8" max="8" width="14.28515625" customWidth="1"/>
    <col min="9" max="9" width="12.85546875" customWidth="1"/>
    <col min="10" max="10" width="9.28515625" bestFit="1" customWidth="1"/>
  </cols>
  <sheetData>
    <row r="1" spans="1:10" ht="16.5" thickTop="1">
      <c r="A1" s="238" t="s">
        <v>200</v>
      </c>
      <c r="B1" s="239">
        <v>100</v>
      </c>
      <c r="C1" s="239">
        <v>200</v>
      </c>
      <c r="D1" s="239">
        <v>300</v>
      </c>
      <c r="E1" s="239">
        <v>400</v>
      </c>
      <c r="F1" s="240">
        <v>500</v>
      </c>
      <c r="G1" s="241" t="s">
        <v>606</v>
      </c>
    </row>
    <row r="2" spans="1:10" ht="15.75">
      <c r="A2" s="210" t="s">
        <v>207</v>
      </c>
      <c r="B2" s="242">
        <v>2049150</v>
      </c>
      <c r="C2" s="242">
        <v>78000</v>
      </c>
      <c r="D2" s="242"/>
      <c r="E2" s="242"/>
      <c r="F2" s="243"/>
      <c r="G2" s="211">
        <f>SUM(B2:F2)</f>
        <v>2127150</v>
      </c>
      <c r="H2" s="209">
        <f>'Rashodi i izdaci-poseban dio'!S6</f>
        <v>1825310</v>
      </c>
      <c r="I2" s="209">
        <f t="shared" ref="I2:I22" si="0">G2-H2</f>
        <v>301840</v>
      </c>
    </row>
    <row r="3" spans="1:10" ht="31.5">
      <c r="A3" s="210" t="s">
        <v>244</v>
      </c>
      <c r="B3" s="242">
        <v>1164450</v>
      </c>
      <c r="C3" s="242"/>
      <c r="D3" s="242"/>
      <c r="E3" s="242"/>
      <c r="F3" s="243"/>
      <c r="G3" s="211">
        <f t="shared" ref="G3:G23" si="1">SUM(B3:F3)</f>
        <v>1164450</v>
      </c>
      <c r="H3" s="209">
        <f>'Rashodi i izdaci-poseban dio'!S41</f>
        <v>20000</v>
      </c>
      <c r="I3" s="209">
        <f t="shared" si="0"/>
        <v>1144450</v>
      </c>
    </row>
    <row r="4" spans="1:10" ht="31.5">
      <c r="A4" s="210" t="s">
        <v>267</v>
      </c>
      <c r="B4" s="242">
        <v>79950</v>
      </c>
      <c r="C4" s="242"/>
      <c r="D4" s="242"/>
      <c r="E4" s="242"/>
      <c r="F4" s="243"/>
      <c r="G4" s="211">
        <f t="shared" si="1"/>
        <v>79950</v>
      </c>
      <c r="H4" s="209">
        <f>'Rashodi i izdaci-poseban dio'!S98</f>
        <v>3000</v>
      </c>
      <c r="I4" s="209">
        <f t="shared" si="0"/>
        <v>76950</v>
      </c>
    </row>
    <row r="5" spans="1:10" ht="63">
      <c r="A5" s="212" t="s">
        <v>270</v>
      </c>
      <c r="B5" s="242">
        <v>8584000</v>
      </c>
      <c r="C5" s="242"/>
      <c r="D5" s="242">
        <v>1687600</v>
      </c>
      <c r="E5" s="242"/>
      <c r="F5" s="243"/>
      <c r="G5" s="211">
        <f t="shared" si="1"/>
        <v>10271600</v>
      </c>
      <c r="H5" s="209">
        <f>'Rashodi i izdaci-poseban dio'!S125</f>
        <v>1000</v>
      </c>
      <c r="I5" s="209">
        <f t="shared" si="0"/>
        <v>10270600</v>
      </c>
    </row>
    <row r="6" spans="1:10" ht="31.5">
      <c r="A6" s="210" t="s">
        <v>310</v>
      </c>
      <c r="B6" s="242">
        <v>3945500</v>
      </c>
      <c r="C6" s="242">
        <v>2400000</v>
      </c>
      <c r="D6" s="242"/>
      <c r="E6" s="242"/>
      <c r="F6" s="243"/>
      <c r="G6" s="211">
        <f t="shared" si="1"/>
        <v>6345500</v>
      </c>
      <c r="H6" s="209">
        <f>'Rashodi i izdaci-poseban dio'!S209</f>
        <v>0</v>
      </c>
      <c r="I6" s="209">
        <f t="shared" si="0"/>
        <v>6345500</v>
      </c>
    </row>
    <row r="7" spans="1:10" ht="31.5">
      <c r="A7" s="213" t="s">
        <v>325</v>
      </c>
      <c r="B7" s="242">
        <v>1549900</v>
      </c>
      <c r="C7" s="242"/>
      <c r="D7" s="242"/>
      <c r="E7" s="242"/>
      <c r="F7" s="243"/>
      <c r="G7" s="211">
        <f t="shared" si="1"/>
        <v>1549900</v>
      </c>
      <c r="H7" s="209">
        <f>'Rashodi i izdaci-poseban dio'!S248</f>
        <v>0</v>
      </c>
      <c r="I7" s="209">
        <f t="shared" si="0"/>
        <v>1549900</v>
      </c>
    </row>
    <row r="8" spans="1:10" ht="15.75">
      <c r="A8" s="214" t="s">
        <v>328</v>
      </c>
      <c r="B8" s="242">
        <v>3076970</v>
      </c>
      <c r="C8" s="242"/>
      <c r="D8" s="242"/>
      <c r="E8" s="242">
        <v>305000</v>
      </c>
      <c r="F8" s="243"/>
      <c r="G8" s="211">
        <f t="shared" si="1"/>
        <v>3381970</v>
      </c>
      <c r="H8" s="209">
        <f>'Rashodi i izdaci-poseban dio'!S272</f>
        <v>3900</v>
      </c>
      <c r="I8" s="209">
        <f t="shared" si="0"/>
        <v>3378070</v>
      </c>
    </row>
    <row r="9" spans="1:10" ht="31.5">
      <c r="A9" s="215" t="s">
        <v>359</v>
      </c>
      <c r="B9" s="242">
        <v>5642380</v>
      </c>
      <c r="C9" s="242"/>
      <c r="D9" s="242"/>
      <c r="E9" s="242"/>
      <c r="F9" s="243"/>
      <c r="G9" s="211">
        <f t="shared" si="1"/>
        <v>5642380</v>
      </c>
      <c r="H9" s="209">
        <f>'Rashodi i izdaci-poseban dio'!S277</f>
        <v>405000</v>
      </c>
      <c r="I9" s="209">
        <f t="shared" si="0"/>
        <v>5237380</v>
      </c>
    </row>
    <row r="10" spans="1:10" ht="47.25">
      <c r="A10" s="215" t="s">
        <v>422</v>
      </c>
      <c r="B10" s="242">
        <v>3433130</v>
      </c>
      <c r="C10" s="242">
        <v>11000</v>
      </c>
      <c r="D10" s="242"/>
      <c r="E10" s="242"/>
      <c r="F10" s="243"/>
      <c r="G10" s="211">
        <f t="shared" si="1"/>
        <v>3444130</v>
      </c>
      <c r="H10" s="209">
        <f>'Rashodi i izdaci-poseban dio'!S284</f>
        <v>445500</v>
      </c>
      <c r="I10" s="209">
        <f t="shared" si="0"/>
        <v>2998630</v>
      </c>
    </row>
    <row r="11" spans="1:10" ht="31.5">
      <c r="A11" s="216" t="s">
        <v>452</v>
      </c>
      <c r="B11" s="242">
        <v>340000</v>
      </c>
      <c r="C11" s="242"/>
      <c r="D11" s="242"/>
      <c r="E11" s="242"/>
      <c r="F11" s="243"/>
      <c r="G11" s="211">
        <f t="shared" si="1"/>
        <v>340000</v>
      </c>
      <c r="H11" s="209">
        <f>'Rashodi i izdaci-poseban dio'!S301</f>
        <v>280000</v>
      </c>
      <c r="I11" s="209">
        <f t="shared" si="0"/>
        <v>60000</v>
      </c>
    </row>
    <row r="12" spans="1:10" ht="31.5">
      <c r="A12" s="210" t="s">
        <v>464</v>
      </c>
      <c r="B12" s="242">
        <v>2064500</v>
      </c>
      <c r="C12" s="242">
        <v>200000</v>
      </c>
      <c r="D12" s="242"/>
      <c r="E12" s="242"/>
      <c r="F12" s="243"/>
      <c r="G12" s="211">
        <f t="shared" si="1"/>
        <v>2264500</v>
      </c>
      <c r="H12" s="209">
        <f>'Rashodi i izdaci-poseban dio'!S305</f>
        <v>2052500</v>
      </c>
      <c r="I12" s="209">
        <f t="shared" si="0"/>
        <v>212000</v>
      </c>
    </row>
    <row r="13" spans="1:10" ht="15.75">
      <c r="A13" s="217" t="s">
        <v>470</v>
      </c>
      <c r="B13" s="242">
        <v>548500</v>
      </c>
      <c r="C13" s="242">
        <v>100000</v>
      </c>
      <c r="D13" s="242"/>
      <c r="E13" s="242"/>
      <c r="F13" s="243"/>
      <c r="G13" s="211">
        <f t="shared" si="1"/>
        <v>648500</v>
      </c>
      <c r="H13" s="209">
        <f>'Rashodi i izdaci-poseban dio'!S330</f>
        <v>10000</v>
      </c>
      <c r="I13" s="209">
        <f t="shared" si="0"/>
        <v>638500</v>
      </c>
    </row>
    <row r="14" spans="1:10" ht="31.5">
      <c r="A14" s="217" t="s">
        <v>479</v>
      </c>
      <c r="B14" s="242"/>
      <c r="C14" s="242">
        <v>8157415</v>
      </c>
      <c r="D14" s="242">
        <f>'[4]BUDŽET 2021'!N851</f>
        <v>0</v>
      </c>
      <c r="E14" s="242">
        <v>5470136</v>
      </c>
      <c r="F14" s="243"/>
      <c r="G14" s="211">
        <f t="shared" si="1"/>
        <v>13627551</v>
      </c>
      <c r="H14" s="209">
        <f>'Rashodi i izdaci-poseban dio'!S338</f>
        <v>0</v>
      </c>
      <c r="I14" s="209">
        <f t="shared" si="0"/>
        <v>13627551</v>
      </c>
      <c r="J14" s="209">
        <f>C14+2500000</f>
        <v>10657415</v>
      </c>
    </row>
    <row r="15" spans="1:10" ht="15.75">
      <c r="A15" s="217" t="s">
        <v>607</v>
      </c>
      <c r="B15" s="242">
        <v>50000</v>
      </c>
      <c r="C15" s="242"/>
      <c r="D15" s="242"/>
      <c r="E15" s="242"/>
      <c r="F15" s="243"/>
      <c r="G15" s="211">
        <f t="shared" si="1"/>
        <v>50000</v>
      </c>
      <c r="H15" s="209" t="e">
        <f>'Rashodi i izdaci-poseban dio'!#REF!</f>
        <v>#REF!</v>
      </c>
      <c r="I15" s="209" t="e">
        <f t="shared" si="0"/>
        <v>#REF!</v>
      </c>
      <c r="J15">
        <f>C14+2500000</f>
        <v>10657415</v>
      </c>
    </row>
    <row r="16" spans="1:10" ht="47.25">
      <c r="A16" s="210" t="s">
        <v>495</v>
      </c>
      <c r="B16" s="242">
        <v>2604000</v>
      </c>
      <c r="C16" s="242"/>
      <c r="D16" s="242"/>
      <c r="E16" s="242"/>
      <c r="F16" s="243"/>
      <c r="G16" s="211">
        <f t="shared" si="1"/>
        <v>2604000</v>
      </c>
      <c r="H16" s="209">
        <f>'Rashodi i izdaci-poseban dio'!S378</f>
        <v>337000</v>
      </c>
      <c r="I16" s="209">
        <f t="shared" si="0"/>
        <v>2267000</v>
      </c>
    </row>
    <row r="17" spans="1:10" ht="15.75">
      <c r="A17" s="215" t="s">
        <v>498</v>
      </c>
      <c r="B17" s="242">
        <v>408000</v>
      </c>
      <c r="C17" s="242"/>
      <c r="D17" s="242"/>
      <c r="E17" s="242"/>
      <c r="F17" s="243"/>
      <c r="G17" s="211">
        <f t="shared" si="1"/>
        <v>408000</v>
      </c>
      <c r="H17" s="209">
        <f>'Rashodi i izdaci-poseban dio'!S400</f>
        <v>1704609</v>
      </c>
      <c r="I17" s="209">
        <f t="shared" si="0"/>
        <v>-1296609</v>
      </c>
    </row>
    <row r="18" spans="1:10" ht="31.5">
      <c r="A18" s="215" t="s">
        <v>515</v>
      </c>
      <c r="B18" s="242">
        <v>7934000</v>
      </c>
      <c r="C18" s="242">
        <v>2680000</v>
      </c>
      <c r="D18" s="242"/>
      <c r="E18" s="242"/>
      <c r="F18" s="243"/>
      <c r="G18" s="211">
        <f t="shared" si="1"/>
        <v>10614000</v>
      </c>
      <c r="H18" s="209">
        <f>'Rashodi i izdaci-poseban dio'!S409</f>
        <v>11995000</v>
      </c>
      <c r="I18" s="209">
        <f t="shared" si="0"/>
        <v>-1381000</v>
      </c>
      <c r="J18" s="209">
        <f>C14+C25</f>
        <v>844750</v>
      </c>
    </row>
    <row r="19" spans="1:10" ht="15.75">
      <c r="A19" s="218" t="s">
        <v>549</v>
      </c>
      <c r="B19" s="242">
        <v>290000</v>
      </c>
      <c r="C19" s="242"/>
      <c r="D19" s="242"/>
      <c r="E19" s="242"/>
      <c r="F19" s="243"/>
      <c r="G19" s="211">
        <f t="shared" si="1"/>
        <v>290000</v>
      </c>
      <c r="H19" s="209">
        <f>'Rashodi i izdaci-poseban dio'!S426</f>
        <v>290000</v>
      </c>
      <c r="I19" s="209">
        <f t="shared" si="0"/>
        <v>0</v>
      </c>
    </row>
    <row r="20" spans="1:10" ht="15.75">
      <c r="A20" s="216" t="s">
        <v>552</v>
      </c>
      <c r="B20" s="242">
        <v>20000</v>
      </c>
      <c r="C20" s="242"/>
      <c r="D20" s="242"/>
      <c r="E20" s="242">
        <f>'[4]BUDŽET 2021'!Q1021</f>
        <v>18000</v>
      </c>
      <c r="F20" s="243">
        <v>984000</v>
      </c>
      <c r="G20" s="211">
        <f t="shared" si="1"/>
        <v>1022000</v>
      </c>
      <c r="H20" s="209">
        <f>'Rashodi i izdaci-poseban dio'!S429</f>
        <v>1150000</v>
      </c>
      <c r="I20" s="209">
        <f t="shared" si="0"/>
        <v>-128000</v>
      </c>
    </row>
    <row r="21" spans="1:10" ht="15.75">
      <c r="A21" s="210" t="s">
        <v>558</v>
      </c>
      <c r="B21" s="242">
        <v>500700</v>
      </c>
      <c r="C21" s="242"/>
      <c r="D21" s="242"/>
      <c r="E21" s="242"/>
      <c r="F21" s="243"/>
      <c r="G21" s="211">
        <f t="shared" si="1"/>
        <v>500700</v>
      </c>
      <c r="H21" s="209">
        <f>'Rashodi i izdaci-poseban dio'!S433</f>
        <v>50000</v>
      </c>
      <c r="I21" s="209">
        <f t="shared" si="0"/>
        <v>450700</v>
      </c>
    </row>
    <row r="22" spans="1:10" ht="31.5">
      <c r="A22" s="210" t="s">
        <v>565</v>
      </c>
      <c r="B22" s="242">
        <v>440300</v>
      </c>
      <c r="C22" s="242"/>
      <c r="D22" s="242"/>
      <c r="E22" s="242"/>
      <c r="F22" s="243"/>
      <c r="G22" s="211">
        <f t="shared" si="1"/>
        <v>440300</v>
      </c>
      <c r="H22" s="209">
        <f>'Rashodi i izdaci-poseban dio'!S468</f>
        <v>0</v>
      </c>
      <c r="I22" s="209">
        <f t="shared" si="0"/>
        <v>440300</v>
      </c>
    </row>
    <row r="23" spans="1:10" ht="15.75">
      <c r="A23" s="219" t="s">
        <v>574</v>
      </c>
      <c r="B23" s="242">
        <v>326380</v>
      </c>
      <c r="C23" s="242">
        <v>360000</v>
      </c>
      <c r="D23" s="242">
        <f>'[4]BUDŽET 2021'!N1124</f>
        <v>0</v>
      </c>
      <c r="E23" s="242"/>
      <c r="F23" s="243"/>
      <c r="G23" s="211">
        <f t="shared" si="1"/>
        <v>686380</v>
      </c>
      <c r="H23" s="209">
        <f>'Rashodi i izdaci-poseban dio'!S499</f>
        <v>0</v>
      </c>
      <c r="I23" s="209">
        <f>G23-H23</f>
        <v>686380</v>
      </c>
    </row>
    <row r="24" spans="1:10" ht="16.5" thickBot="1">
      <c r="A24" s="220" t="s">
        <v>606</v>
      </c>
      <c r="B24" s="244">
        <f>SUM(B2:B23)</f>
        <v>45051810</v>
      </c>
      <c r="C24" s="244">
        <f t="shared" ref="C24:F24" si="2">SUM(C2:C23)</f>
        <v>13986415</v>
      </c>
      <c r="D24" s="244">
        <f t="shared" si="2"/>
        <v>1687600</v>
      </c>
      <c r="E24" s="244">
        <f t="shared" si="2"/>
        <v>5793136</v>
      </c>
      <c r="F24" s="244">
        <f t="shared" si="2"/>
        <v>984000</v>
      </c>
      <c r="G24" s="221">
        <f t="shared" ref="G24" si="3">SUM(G2:G23)</f>
        <v>67502961</v>
      </c>
      <c r="H24" s="209"/>
    </row>
    <row r="25" spans="1:10" ht="15.75" thickTop="1">
      <c r="B25" s="246">
        <f>B26-B24</f>
        <v>-31624500</v>
      </c>
      <c r="C25" s="246">
        <f>C26-C24</f>
        <v>-7312665</v>
      </c>
      <c r="D25" s="246">
        <f t="shared" ref="D25:E25" si="4">D26-D24</f>
        <v>124009</v>
      </c>
      <c r="E25" s="246">
        <f t="shared" si="4"/>
        <v>16119533</v>
      </c>
      <c r="F25" s="246">
        <f>'[4]BUDŽET 2021'!$Q$1113</f>
        <v>0</v>
      </c>
      <c r="G25" s="246">
        <f>'[4]BUDŽET 2021'!$R$1113</f>
        <v>0</v>
      </c>
    </row>
    <row r="26" spans="1:10">
      <c r="B26" s="246">
        <f>'Rashodi i izdaci-poseban dio'!P531</f>
        <v>13427310</v>
      </c>
      <c r="C26" s="246">
        <f>'Rashodi i izdaci-poseban dio'!Q531</f>
        <v>6673750</v>
      </c>
      <c r="D26" s="246">
        <f>'Rashodi i izdaci-poseban dio'!R531</f>
        <v>1811609</v>
      </c>
      <c r="E26" s="246">
        <f>'Rashodi i izdaci-poseban dio'!S531</f>
        <v>21912669</v>
      </c>
      <c r="F26" s="246" t="e">
        <f>'Rashodi i izdaci-poseban dio'!#REF!</f>
        <v>#REF!</v>
      </c>
      <c r="G26" s="209">
        <f>G24-G25</f>
        <v>67502961</v>
      </c>
    </row>
    <row r="27" spans="1:10">
      <c r="C27" s="246">
        <f>C24+D24</f>
        <v>15674015</v>
      </c>
      <c r="F27" s="246">
        <f>E24+F24</f>
        <v>6777136</v>
      </c>
    </row>
  </sheetData>
  <pageMargins left="0.7" right="0.7" top="0.75" bottom="0.75" header="0.3" footer="0.3"/>
  <pageSetup paperSize="9" scale="6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6"/>
  <dimension ref="A1:L26"/>
  <sheetViews>
    <sheetView view="pageBreakPreview" topLeftCell="A7" zoomScaleSheetLayoutView="100" workbookViewId="0">
      <selection activeCell="A31" sqref="A31"/>
    </sheetView>
  </sheetViews>
  <sheetFormatPr defaultRowHeight="15"/>
  <cols>
    <col min="1" max="1" width="42.85546875" customWidth="1"/>
    <col min="2" max="10" width="13.5703125" customWidth="1"/>
    <col min="11" max="11" width="18.85546875" customWidth="1"/>
    <col min="12" max="12" width="12" customWidth="1"/>
  </cols>
  <sheetData>
    <row r="1" spans="1:12" ht="64.900000000000006" customHeight="1" thickTop="1">
      <c r="A1" s="222" t="s">
        <v>201</v>
      </c>
      <c r="B1" s="223" t="s">
        <v>608</v>
      </c>
      <c r="C1" s="223" t="s">
        <v>609</v>
      </c>
      <c r="D1" s="223" t="s">
        <v>610</v>
      </c>
      <c r="E1" s="223" t="s">
        <v>611</v>
      </c>
      <c r="F1" s="223" t="s">
        <v>612</v>
      </c>
      <c r="G1" s="223" t="s">
        <v>613</v>
      </c>
      <c r="H1" s="223" t="s">
        <v>614</v>
      </c>
      <c r="I1" s="223" t="s">
        <v>615</v>
      </c>
      <c r="J1" s="224" t="s">
        <v>606</v>
      </c>
    </row>
    <row r="2" spans="1:12" ht="27.6" customHeight="1">
      <c r="A2" s="225" t="s">
        <v>207</v>
      </c>
      <c r="B2" s="226">
        <v>2049150</v>
      </c>
      <c r="C2" s="226"/>
      <c r="D2" s="226"/>
      <c r="E2" s="226"/>
      <c r="F2" s="226">
        <v>78000</v>
      </c>
      <c r="G2" s="226"/>
      <c r="H2" s="226"/>
      <c r="I2" s="226"/>
      <c r="J2" s="227">
        <f>SUM(B2:I2)</f>
        <v>2127150</v>
      </c>
      <c r="K2" s="209">
        <f>'Rashodi i izdaci-poseban dio'!S6</f>
        <v>1825310</v>
      </c>
      <c r="L2" s="209">
        <f>J2-K2</f>
        <v>301840</v>
      </c>
    </row>
    <row r="3" spans="1:12" ht="27.6" customHeight="1">
      <c r="A3" s="225" t="s">
        <v>244</v>
      </c>
      <c r="B3" s="226">
        <v>1164450</v>
      </c>
      <c r="C3" s="226"/>
      <c r="D3" s="226"/>
      <c r="E3" s="226"/>
      <c r="F3" s="226"/>
      <c r="G3" s="226"/>
      <c r="H3" s="226"/>
      <c r="I3" s="226"/>
      <c r="J3" s="227">
        <f t="shared" ref="J3:J23" si="0">SUM(B3:I3)</f>
        <v>1164450</v>
      </c>
      <c r="K3" s="209">
        <f>'Rashodi i izdaci-poseban dio'!S41</f>
        <v>20000</v>
      </c>
      <c r="L3" s="209">
        <f t="shared" ref="L3:L23" si="1">J3-K3</f>
        <v>1144450</v>
      </c>
    </row>
    <row r="4" spans="1:12" ht="27.6" customHeight="1">
      <c r="A4" s="225" t="s">
        <v>267</v>
      </c>
      <c r="B4" s="226">
        <v>79950</v>
      </c>
      <c r="C4" s="226"/>
      <c r="D4" s="226"/>
      <c r="E4" s="226"/>
      <c r="F4" s="226"/>
      <c r="G4" s="226"/>
      <c r="H4" s="226"/>
      <c r="I4" s="226"/>
      <c r="J4" s="227">
        <f t="shared" si="0"/>
        <v>79950</v>
      </c>
      <c r="K4" s="209">
        <f>'Rashodi i izdaci-poseban dio'!S98</f>
        <v>3000</v>
      </c>
      <c r="L4" s="209">
        <f t="shared" si="1"/>
        <v>76950</v>
      </c>
    </row>
    <row r="5" spans="1:12" ht="27.6" customHeight="1">
      <c r="A5" s="228" t="s">
        <v>270</v>
      </c>
      <c r="B5" s="226">
        <v>8584000</v>
      </c>
      <c r="C5" s="226">
        <v>1687600</v>
      </c>
      <c r="D5" s="226"/>
      <c r="E5" s="226"/>
      <c r="F5" s="226"/>
      <c r="G5" s="226"/>
      <c r="H5" s="226"/>
      <c r="I5" s="226"/>
      <c r="J5" s="227">
        <f t="shared" si="0"/>
        <v>10271600</v>
      </c>
      <c r="K5" s="209">
        <f>'Rashodi i izdaci-poseban dio'!S125</f>
        <v>1000</v>
      </c>
      <c r="L5" s="209">
        <f t="shared" si="1"/>
        <v>10270600</v>
      </c>
    </row>
    <row r="6" spans="1:12" ht="27.6" customHeight="1">
      <c r="A6" s="225" t="s">
        <v>310</v>
      </c>
      <c r="B6" s="226">
        <v>3945500</v>
      </c>
      <c r="C6" s="226"/>
      <c r="D6" s="226"/>
      <c r="E6" s="226"/>
      <c r="F6" s="226">
        <v>2400000</v>
      </c>
      <c r="G6" s="226"/>
      <c r="H6" s="226"/>
      <c r="I6" s="226"/>
      <c r="J6" s="227">
        <f t="shared" si="0"/>
        <v>6345500</v>
      </c>
      <c r="K6" s="209">
        <f>'Rashodi i izdaci-poseban dio'!P209</f>
        <v>0</v>
      </c>
      <c r="L6" s="209">
        <f t="shared" si="1"/>
        <v>6345500</v>
      </c>
    </row>
    <row r="7" spans="1:12" ht="27.6" customHeight="1">
      <c r="A7" s="228" t="s">
        <v>325</v>
      </c>
      <c r="B7" s="226">
        <v>1549900</v>
      </c>
      <c r="C7" s="226"/>
      <c r="D7" s="226"/>
      <c r="E7" s="226"/>
      <c r="F7" s="226"/>
      <c r="G7" s="226"/>
      <c r="H7" s="226"/>
      <c r="I7" s="226"/>
      <c r="J7" s="227">
        <f t="shared" si="0"/>
        <v>1549900</v>
      </c>
      <c r="K7" s="209">
        <f>'Rashodi i izdaci-poseban dio'!P248</f>
        <v>0</v>
      </c>
      <c r="L7" s="209">
        <f t="shared" si="1"/>
        <v>1549900</v>
      </c>
    </row>
    <row r="8" spans="1:12" ht="27.6" customHeight="1">
      <c r="A8" s="229" t="s">
        <v>328</v>
      </c>
      <c r="B8" s="226"/>
      <c r="C8" s="226"/>
      <c r="D8" s="226"/>
      <c r="E8" s="226"/>
      <c r="F8" s="226"/>
      <c r="G8" s="226">
        <v>3381970</v>
      </c>
      <c r="H8" s="226"/>
      <c r="I8" s="226"/>
      <c r="J8" s="227">
        <f t="shared" si="0"/>
        <v>3381970</v>
      </c>
      <c r="K8" s="209">
        <f>'Rashodi i izdaci-poseban dio'!S272</f>
        <v>3900</v>
      </c>
      <c r="L8" s="209">
        <f t="shared" si="1"/>
        <v>3378070</v>
      </c>
    </row>
    <row r="9" spans="1:12" ht="27.6" customHeight="1">
      <c r="A9" s="230" t="s">
        <v>359</v>
      </c>
      <c r="B9" s="226"/>
      <c r="C9" s="226"/>
      <c r="D9" s="226"/>
      <c r="E9" s="226"/>
      <c r="F9" s="226"/>
      <c r="G9" s="226"/>
      <c r="H9" s="226">
        <v>5642380</v>
      </c>
      <c r="I9" s="226"/>
      <c r="J9" s="227">
        <f t="shared" si="0"/>
        <v>5642380</v>
      </c>
      <c r="K9" s="209">
        <f>'Rashodi i izdaci-poseban dio'!S277</f>
        <v>405000</v>
      </c>
      <c r="L9" s="209">
        <f t="shared" si="1"/>
        <v>5237380</v>
      </c>
    </row>
    <row r="10" spans="1:12" ht="27.6" customHeight="1">
      <c r="A10" s="230" t="s">
        <v>422</v>
      </c>
      <c r="B10" s="226"/>
      <c r="C10" s="226"/>
      <c r="D10" s="226"/>
      <c r="E10" s="226"/>
      <c r="F10" s="226"/>
      <c r="G10" s="226"/>
      <c r="H10" s="226"/>
      <c r="I10" s="226">
        <v>3444130</v>
      </c>
      <c r="J10" s="227">
        <f t="shared" si="0"/>
        <v>3444130</v>
      </c>
      <c r="K10" s="209">
        <f>'Rashodi i izdaci-poseban dio'!S284</f>
        <v>445500</v>
      </c>
      <c r="L10" s="209">
        <f t="shared" si="1"/>
        <v>2998630</v>
      </c>
    </row>
    <row r="11" spans="1:12" ht="27.6" customHeight="1">
      <c r="A11" s="231" t="s">
        <v>452</v>
      </c>
      <c r="B11" s="226"/>
      <c r="C11" s="226"/>
      <c r="D11" s="226"/>
      <c r="E11" s="226"/>
      <c r="F11" s="226"/>
      <c r="G11" s="226"/>
      <c r="H11" s="226"/>
      <c r="I11" s="226">
        <v>340000</v>
      </c>
      <c r="J11" s="227">
        <f t="shared" si="0"/>
        <v>340000</v>
      </c>
      <c r="K11" s="209">
        <f>'Rashodi i izdaci-poseban dio'!S301</f>
        <v>280000</v>
      </c>
      <c r="L11" s="209">
        <f t="shared" si="1"/>
        <v>60000</v>
      </c>
    </row>
    <row r="12" spans="1:12" ht="27.6" customHeight="1">
      <c r="A12" s="225" t="s">
        <v>464</v>
      </c>
      <c r="B12" s="226">
        <v>2064500</v>
      </c>
      <c r="C12" s="226"/>
      <c r="D12" s="226"/>
      <c r="E12" s="226"/>
      <c r="F12" s="226">
        <v>200000</v>
      </c>
      <c r="G12" s="226"/>
      <c r="H12" s="226"/>
      <c r="I12" s="226"/>
      <c r="J12" s="227">
        <f t="shared" si="0"/>
        <v>2264500</v>
      </c>
      <c r="K12" s="209">
        <f>'Rashodi i izdaci-poseban dio'!P305</f>
        <v>192000</v>
      </c>
      <c r="L12" s="209">
        <f t="shared" si="1"/>
        <v>2072500</v>
      </c>
    </row>
    <row r="13" spans="1:12" ht="27.6" customHeight="1">
      <c r="A13" s="232" t="s">
        <v>470</v>
      </c>
      <c r="B13" s="226"/>
      <c r="C13" s="226"/>
      <c r="D13" s="226"/>
      <c r="E13" s="226"/>
      <c r="F13" s="226">
        <v>648500</v>
      </c>
      <c r="G13" s="226"/>
      <c r="H13" s="226"/>
      <c r="I13" s="226"/>
      <c r="J13" s="227">
        <f t="shared" si="0"/>
        <v>648500</v>
      </c>
      <c r="K13" s="209">
        <f>'Rashodi i izdaci-poseban dio'!S330</f>
        <v>10000</v>
      </c>
      <c r="L13" s="209">
        <f t="shared" si="1"/>
        <v>638500</v>
      </c>
    </row>
    <row r="14" spans="1:12" ht="27.6" customHeight="1">
      <c r="A14" s="232" t="s">
        <v>479</v>
      </c>
      <c r="B14" s="226"/>
      <c r="C14" s="226"/>
      <c r="D14" s="226"/>
      <c r="E14" s="226"/>
      <c r="F14" s="226">
        <v>13627551</v>
      </c>
      <c r="G14" s="226"/>
      <c r="H14" s="226"/>
      <c r="I14" s="226"/>
      <c r="J14" s="227">
        <f t="shared" si="0"/>
        <v>13627551</v>
      </c>
      <c r="K14" s="209">
        <f>'Rashodi i izdaci-poseban dio'!S338</f>
        <v>0</v>
      </c>
      <c r="L14" s="209">
        <f t="shared" si="1"/>
        <v>13627551</v>
      </c>
    </row>
    <row r="15" spans="1:12" ht="27.6" customHeight="1">
      <c r="A15" s="232" t="s">
        <v>607</v>
      </c>
      <c r="B15" s="226"/>
      <c r="C15" s="226"/>
      <c r="D15" s="226"/>
      <c r="E15" s="226"/>
      <c r="F15" s="226">
        <v>50000</v>
      </c>
      <c r="G15" s="226"/>
      <c r="H15" s="226"/>
      <c r="I15" s="226"/>
      <c r="J15" s="227">
        <f t="shared" si="0"/>
        <v>50000</v>
      </c>
      <c r="L15" s="209">
        <f t="shared" si="1"/>
        <v>50000</v>
      </c>
    </row>
    <row r="16" spans="1:12" ht="27.6" customHeight="1">
      <c r="A16" s="225" t="s">
        <v>495</v>
      </c>
      <c r="B16" s="226">
        <v>2604000</v>
      </c>
      <c r="C16" s="226"/>
      <c r="D16" s="226"/>
      <c r="E16" s="226"/>
      <c r="F16" s="226"/>
      <c r="G16" s="226"/>
      <c r="H16" s="226"/>
      <c r="I16" s="226"/>
      <c r="J16" s="227">
        <f t="shared" si="0"/>
        <v>2604000</v>
      </c>
      <c r="K16" s="209">
        <f>'Rashodi i izdaci-poseban dio'!P378</f>
        <v>337000</v>
      </c>
      <c r="L16" s="209">
        <f t="shared" si="1"/>
        <v>2267000</v>
      </c>
    </row>
    <row r="17" spans="1:12" ht="27.6" customHeight="1">
      <c r="A17" s="230" t="s">
        <v>498</v>
      </c>
      <c r="B17" s="226"/>
      <c r="C17" s="226"/>
      <c r="D17" s="226">
        <v>408000</v>
      </c>
      <c r="E17" s="226"/>
      <c r="F17" s="226"/>
      <c r="G17" s="226"/>
      <c r="H17" s="226"/>
      <c r="I17" s="226"/>
      <c r="J17" s="227">
        <f t="shared" si="0"/>
        <v>408000</v>
      </c>
      <c r="K17" s="209">
        <f>'Rashodi i izdaci-poseban dio'!S400</f>
        <v>1704609</v>
      </c>
      <c r="L17" s="209">
        <f t="shared" si="1"/>
        <v>-1296609</v>
      </c>
    </row>
    <row r="18" spans="1:12" ht="27.6" customHeight="1">
      <c r="A18" s="230" t="s">
        <v>515</v>
      </c>
      <c r="B18" s="226"/>
      <c r="C18" s="226"/>
      <c r="D18" s="226"/>
      <c r="E18" s="226">
        <v>10614000</v>
      </c>
      <c r="F18" s="226"/>
      <c r="G18" s="226"/>
      <c r="H18" s="226"/>
      <c r="I18" s="226"/>
      <c r="J18" s="227">
        <f t="shared" si="0"/>
        <v>10614000</v>
      </c>
      <c r="K18" s="209">
        <f>'Rashodi i izdaci-poseban dio'!S409</f>
        <v>11995000</v>
      </c>
      <c r="L18" s="209">
        <f t="shared" si="1"/>
        <v>-1381000</v>
      </c>
    </row>
    <row r="19" spans="1:12" ht="27.6" customHeight="1">
      <c r="A19" s="233" t="s">
        <v>549</v>
      </c>
      <c r="B19" s="226"/>
      <c r="C19" s="226">
        <v>290000</v>
      </c>
      <c r="D19" s="226"/>
      <c r="E19" s="226"/>
      <c r="F19" s="226"/>
      <c r="G19" s="226"/>
      <c r="H19" s="226"/>
      <c r="I19" s="226"/>
      <c r="J19" s="227">
        <f t="shared" si="0"/>
        <v>290000</v>
      </c>
      <c r="K19" s="209">
        <f>'Rashodi i izdaci-poseban dio'!S426</f>
        <v>290000</v>
      </c>
      <c r="L19" s="209">
        <f t="shared" si="1"/>
        <v>0</v>
      </c>
    </row>
    <row r="20" spans="1:12" ht="27.6" customHeight="1">
      <c r="A20" s="231" t="s">
        <v>552</v>
      </c>
      <c r="B20" s="226"/>
      <c r="C20" s="226"/>
      <c r="D20" s="226">
        <v>1004000</v>
      </c>
      <c r="E20" s="226"/>
      <c r="F20" s="226"/>
      <c r="G20" s="226"/>
      <c r="H20" s="226"/>
      <c r="I20" s="226"/>
      <c r="J20" s="227">
        <f t="shared" si="0"/>
        <v>1004000</v>
      </c>
      <c r="K20" s="209">
        <f>'Rashodi i izdaci-poseban dio'!S429</f>
        <v>1150000</v>
      </c>
      <c r="L20" s="209">
        <f t="shared" si="1"/>
        <v>-146000</v>
      </c>
    </row>
    <row r="21" spans="1:12" ht="27.6" customHeight="1">
      <c r="A21" s="225" t="s">
        <v>558</v>
      </c>
      <c r="B21" s="226">
        <v>500700</v>
      </c>
      <c r="C21" s="226"/>
      <c r="D21" s="226"/>
      <c r="E21" s="226"/>
      <c r="F21" s="226"/>
      <c r="G21" s="226"/>
      <c r="H21" s="226"/>
      <c r="I21" s="226"/>
      <c r="J21" s="227">
        <f t="shared" si="0"/>
        <v>500700</v>
      </c>
      <c r="K21" s="209">
        <f>'Rashodi i izdaci-poseban dio'!S433</f>
        <v>50000</v>
      </c>
      <c r="L21" s="209">
        <f t="shared" si="1"/>
        <v>450700</v>
      </c>
    </row>
    <row r="22" spans="1:12" ht="27.6" customHeight="1">
      <c r="A22" s="225" t="s">
        <v>565</v>
      </c>
      <c r="B22" s="226">
        <v>440300</v>
      </c>
      <c r="C22" s="226"/>
      <c r="D22" s="226"/>
      <c r="E22" s="226"/>
      <c r="F22" s="226"/>
      <c r="G22" s="226"/>
      <c r="H22" s="226"/>
      <c r="I22" s="226"/>
      <c r="J22" s="227">
        <f t="shared" si="0"/>
        <v>440300</v>
      </c>
      <c r="K22" s="209">
        <f>'Rashodi i izdaci-poseban dio'!S468</f>
        <v>0</v>
      </c>
      <c r="L22" s="209">
        <f t="shared" si="1"/>
        <v>440300</v>
      </c>
    </row>
    <row r="23" spans="1:12" ht="27.6" customHeight="1">
      <c r="A23" s="234" t="s">
        <v>574</v>
      </c>
      <c r="B23" s="226">
        <v>326380</v>
      </c>
      <c r="C23" s="226"/>
      <c r="D23" s="226"/>
      <c r="E23" s="226"/>
      <c r="F23" s="226"/>
      <c r="G23" s="226">
        <v>360000</v>
      </c>
      <c r="H23" s="226"/>
      <c r="I23" s="226"/>
      <c r="J23" s="227">
        <f t="shared" si="0"/>
        <v>686380</v>
      </c>
      <c r="K23" s="209">
        <f>'Rashodi i izdaci-poseban dio'!S499</f>
        <v>0</v>
      </c>
      <c r="L23" s="209">
        <f t="shared" si="1"/>
        <v>686380</v>
      </c>
    </row>
    <row r="24" spans="1:12" ht="16.5" thickBot="1">
      <c r="A24" s="236" t="s">
        <v>606</v>
      </c>
      <c r="B24" s="237">
        <f>SUM(B2:B23)</f>
        <v>23308830</v>
      </c>
      <c r="C24" s="237">
        <f t="shared" ref="C24:I24" si="2">SUM(C2:C23)</f>
        <v>1977600</v>
      </c>
      <c r="D24" s="237">
        <f t="shared" si="2"/>
        <v>1412000</v>
      </c>
      <c r="E24" s="237">
        <f t="shared" si="2"/>
        <v>10614000</v>
      </c>
      <c r="F24" s="237">
        <f t="shared" si="2"/>
        <v>17004051</v>
      </c>
      <c r="G24" s="237">
        <f t="shared" si="2"/>
        <v>3741970</v>
      </c>
      <c r="H24" s="237">
        <f t="shared" si="2"/>
        <v>5642380</v>
      </c>
      <c r="I24" s="237">
        <f t="shared" si="2"/>
        <v>3784130</v>
      </c>
      <c r="J24" s="235">
        <f>SUM(J2:J23)</f>
        <v>67484961</v>
      </c>
    </row>
    <row r="25" spans="1:12" ht="15.75" thickTop="1">
      <c r="J25" s="209">
        <f>Fond!G24</f>
        <v>67502961</v>
      </c>
    </row>
    <row r="26" spans="1:12">
      <c r="J26" s="209">
        <f>J25-J24</f>
        <v>18000</v>
      </c>
    </row>
  </sheetData>
  <pageMargins left="0.7" right="0.7" top="0.75" bottom="0.75" header="0.3" footer="0.3"/>
  <pageSetup paperSize="9" scale="6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8"/>
  <dimension ref="A1:K36"/>
  <sheetViews>
    <sheetView topLeftCell="A13" workbookViewId="0">
      <selection activeCell="C4" sqref="C4"/>
    </sheetView>
  </sheetViews>
  <sheetFormatPr defaultColWidth="9.140625" defaultRowHeight="15.75"/>
  <cols>
    <col min="1" max="1" width="3.5703125" style="6" customWidth="1"/>
    <col min="2" max="2" width="4.140625" style="6" customWidth="1"/>
    <col min="3" max="3" width="30.7109375" style="6" customWidth="1"/>
    <col min="4" max="4" width="22.42578125" style="6" customWidth="1"/>
    <col min="5" max="5" width="9.140625" style="6"/>
    <col min="6" max="6" width="8.5703125" style="6" customWidth="1"/>
    <col min="7" max="8" width="9.140625" style="6"/>
    <col min="9" max="9" width="13.7109375" style="6" customWidth="1"/>
    <col min="10" max="11" width="10.85546875" style="6" customWidth="1"/>
    <col min="12" max="16384" width="9.140625" style="6"/>
  </cols>
  <sheetData>
    <row r="1" spans="1:11" s="277" customFormat="1" ht="67.5" customHeight="1">
      <c r="A1" s="304" t="s">
        <v>0</v>
      </c>
      <c r="B1" s="305"/>
      <c r="C1" s="306" t="s">
        <v>1</v>
      </c>
      <c r="D1" s="307" t="s">
        <v>628</v>
      </c>
      <c r="E1" s="307" t="s">
        <v>629</v>
      </c>
      <c r="F1" s="307" t="s">
        <v>851</v>
      </c>
      <c r="G1" s="307" t="s">
        <v>2</v>
      </c>
      <c r="H1" s="308" t="s">
        <v>606</v>
      </c>
      <c r="I1" s="307" t="s">
        <v>629</v>
      </c>
      <c r="J1" s="307" t="s">
        <v>3</v>
      </c>
      <c r="K1" s="308" t="s">
        <v>606</v>
      </c>
    </row>
    <row r="2" spans="1:11" s="277" customFormat="1" ht="25.5" customHeight="1">
      <c r="A2" s="309">
        <v>1</v>
      </c>
      <c r="B2" s="309">
        <v>2</v>
      </c>
      <c r="C2" s="305">
        <v>3</v>
      </c>
      <c r="D2" s="307">
        <v>4</v>
      </c>
      <c r="E2" s="307">
        <v>5</v>
      </c>
      <c r="F2" s="307">
        <v>6</v>
      </c>
      <c r="G2" s="307">
        <v>7</v>
      </c>
      <c r="H2" s="307" t="s">
        <v>54</v>
      </c>
      <c r="I2" s="307">
        <v>9</v>
      </c>
      <c r="J2" s="307">
        <v>10</v>
      </c>
      <c r="K2" s="307" t="s">
        <v>830</v>
      </c>
    </row>
    <row r="3" spans="1:11" s="277" customFormat="1" ht="25.5" customHeight="1">
      <c r="A3" s="309"/>
      <c r="B3" s="309"/>
      <c r="C3" s="319" t="s">
        <v>853</v>
      </c>
      <c r="D3" s="307"/>
      <c r="E3" s="307"/>
      <c r="F3" s="307"/>
      <c r="G3" s="307"/>
      <c r="H3" s="307"/>
      <c r="I3" s="307"/>
      <c r="J3" s="307"/>
      <c r="K3" s="307"/>
    </row>
    <row r="4" spans="1:11" ht="42" customHeight="1">
      <c r="A4" s="297"/>
      <c r="B4" s="297"/>
      <c r="C4" s="318" t="s">
        <v>831</v>
      </c>
      <c r="D4" s="298"/>
      <c r="E4" s="254">
        <f>E5</f>
        <v>239200.32</v>
      </c>
      <c r="F4" s="254">
        <f t="shared" ref="F4:G4" si="0">F5</f>
        <v>50000</v>
      </c>
      <c r="G4" s="254">
        <f t="shared" si="0"/>
        <v>260000</v>
      </c>
      <c r="H4" s="254">
        <f>H5</f>
        <v>549200.32000000007</v>
      </c>
      <c r="I4" s="254">
        <f>I5</f>
        <v>276601.19</v>
      </c>
      <c r="J4" s="254">
        <f t="shared" ref="J4" si="1">J5</f>
        <v>360000</v>
      </c>
      <c r="K4" s="254">
        <f>K5</f>
        <v>636601.19000000006</v>
      </c>
    </row>
    <row r="5" spans="1:11" ht="47.25" customHeight="1">
      <c r="A5" s="297"/>
      <c r="B5" s="297"/>
      <c r="C5" s="310" t="s">
        <v>852</v>
      </c>
      <c r="D5" s="298" t="s">
        <v>848</v>
      </c>
      <c r="E5" s="254">
        <f>SUM(E20:E36)</f>
        <v>239200.32</v>
      </c>
      <c r="F5" s="254">
        <f t="shared" ref="F5:G5" si="2">SUM(F20:F36)</f>
        <v>50000</v>
      </c>
      <c r="G5" s="254">
        <f t="shared" si="2"/>
        <v>260000</v>
      </c>
      <c r="H5" s="254">
        <f>SUM(H20:H36)</f>
        <v>549200.32000000007</v>
      </c>
      <c r="I5" s="254">
        <f>SUM(I6:I19)</f>
        <v>276601.19</v>
      </c>
      <c r="J5" s="254">
        <f>SUM(J6:J13)</f>
        <v>360000</v>
      </c>
      <c r="K5" s="254">
        <f>SUM(K6:K19)</f>
        <v>636601.19000000006</v>
      </c>
    </row>
    <row r="6" spans="1:11" ht="42" customHeight="1">
      <c r="A6" s="257"/>
      <c r="B6" s="297"/>
      <c r="C6" s="311" t="s">
        <v>832</v>
      </c>
      <c r="D6" s="298" t="s">
        <v>848</v>
      </c>
      <c r="E6" s="254"/>
      <c r="F6" s="254"/>
      <c r="G6" s="254"/>
      <c r="H6" s="254"/>
      <c r="I6" s="254"/>
      <c r="J6" s="299">
        <v>160000</v>
      </c>
      <c r="K6" s="255">
        <f t="shared" ref="K6:K14" si="3">SUM(I6:J6)</f>
        <v>160000</v>
      </c>
    </row>
    <row r="7" spans="1:11" ht="71.25" customHeight="1">
      <c r="A7" s="257"/>
      <c r="B7" s="297"/>
      <c r="C7" s="311" t="s">
        <v>833</v>
      </c>
      <c r="D7" s="298" t="s">
        <v>848</v>
      </c>
      <c r="E7" s="254"/>
      <c r="F7" s="254"/>
      <c r="G7" s="254"/>
      <c r="H7" s="254"/>
      <c r="I7" s="254"/>
      <c r="J7" s="299">
        <v>35000</v>
      </c>
      <c r="K7" s="255">
        <f t="shared" si="3"/>
        <v>35000</v>
      </c>
    </row>
    <row r="8" spans="1:11" ht="42" customHeight="1">
      <c r="A8" s="257"/>
      <c r="B8" s="297"/>
      <c r="C8" s="311" t="s">
        <v>834</v>
      </c>
      <c r="D8" s="298" t="s">
        <v>848</v>
      </c>
      <c r="E8" s="254"/>
      <c r="F8" s="254"/>
      <c r="G8" s="254"/>
      <c r="H8" s="254"/>
      <c r="I8" s="254"/>
      <c r="J8" s="299">
        <v>15000</v>
      </c>
      <c r="K8" s="255">
        <f t="shared" si="3"/>
        <v>15000</v>
      </c>
    </row>
    <row r="9" spans="1:11" ht="42" customHeight="1">
      <c r="A9" s="257"/>
      <c r="B9" s="297"/>
      <c r="C9" s="311" t="s">
        <v>641</v>
      </c>
      <c r="D9" s="298" t="s">
        <v>848</v>
      </c>
      <c r="E9" s="254"/>
      <c r="F9" s="254"/>
      <c r="G9" s="254"/>
      <c r="H9" s="254"/>
      <c r="I9" s="254"/>
      <c r="J9" s="299">
        <v>20000</v>
      </c>
      <c r="K9" s="255">
        <f t="shared" si="3"/>
        <v>20000</v>
      </c>
    </row>
    <row r="10" spans="1:11" ht="42" customHeight="1">
      <c r="A10" s="300"/>
      <c r="B10" s="297"/>
      <c r="C10" s="312" t="s">
        <v>642</v>
      </c>
      <c r="D10" s="298" t="s">
        <v>848</v>
      </c>
      <c r="E10" s="254"/>
      <c r="F10" s="254"/>
      <c r="G10" s="254"/>
      <c r="H10" s="254"/>
      <c r="I10" s="254"/>
      <c r="J10" s="299">
        <v>10000</v>
      </c>
      <c r="K10" s="255">
        <f t="shared" si="3"/>
        <v>10000</v>
      </c>
    </row>
    <row r="11" spans="1:11" ht="42" customHeight="1">
      <c r="A11" s="300"/>
      <c r="B11" s="297"/>
      <c r="C11" s="312" t="s">
        <v>643</v>
      </c>
      <c r="D11" s="298" t="s">
        <v>848</v>
      </c>
      <c r="E11" s="254"/>
      <c r="F11" s="254"/>
      <c r="G11" s="254"/>
      <c r="H11" s="254"/>
      <c r="I11" s="254"/>
      <c r="J11" s="299">
        <v>20000</v>
      </c>
      <c r="K11" s="255">
        <f t="shared" si="3"/>
        <v>20000</v>
      </c>
    </row>
    <row r="12" spans="1:11" ht="48" customHeight="1">
      <c r="A12" s="300"/>
      <c r="B12" s="297"/>
      <c r="C12" s="312" t="s">
        <v>835</v>
      </c>
      <c r="D12" s="298" t="s">
        <v>848</v>
      </c>
      <c r="E12" s="254"/>
      <c r="F12" s="254"/>
      <c r="G12" s="254"/>
      <c r="H12" s="254"/>
      <c r="I12" s="254"/>
      <c r="J12" s="299">
        <v>70000</v>
      </c>
      <c r="K12" s="255">
        <f t="shared" si="3"/>
        <v>70000</v>
      </c>
    </row>
    <row r="13" spans="1:11" ht="42" customHeight="1">
      <c r="A13" s="301"/>
      <c r="B13" s="297"/>
      <c r="C13" s="313" t="s">
        <v>645</v>
      </c>
      <c r="D13" s="298" t="s">
        <v>848</v>
      </c>
      <c r="E13" s="254"/>
      <c r="F13" s="254"/>
      <c r="G13" s="254"/>
      <c r="H13" s="254"/>
      <c r="I13" s="254"/>
      <c r="J13" s="315">
        <v>30000</v>
      </c>
      <c r="K13" s="255">
        <f t="shared" si="3"/>
        <v>30000</v>
      </c>
    </row>
    <row r="14" spans="1:11" ht="81" customHeight="1">
      <c r="A14" s="301"/>
      <c r="B14" s="297"/>
      <c r="C14" s="316" t="s">
        <v>836</v>
      </c>
      <c r="D14" s="298"/>
      <c r="E14" s="254"/>
      <c r="F14" s="254"/>
      <c r="G14" s="254"/>
      <c r="H14" s="254"/>
      <c r="I14" s="317">
        <v>160640.66</v>
      </c>
      <c r="J14" s="315"/>
      <c r="K14" s="255">
        <f t="shared" si="3"/>
        <v>160640.66</v>
      </c>
    </row>
    <row r="15" spans="1:11" ht="82.5" customHeight="1">
      <c r="A15" s="301"/>
      <c r="B15" s="297"/>
      <c r="C15" s="316" t="s">
        <v>837</v>
      </c>
      <c r="D15" s="298"/>
      <c r="E15" s="254"/>
      <c r="F15" s="254"/>
      <c r="G15" s="254"/>
      <c r="H15" s="254"/>
      <c r="I15" s="317">
        <v>7020</v>
      </c>
      <c r="J15" s="315"/>
      <c r="K15" s="255">
        <f t="shared" ref="K15:K19" si="4">SUM(I15:J15)</f>
        <v>7020</v>
      </c>
    </row>
    <row r="16" spans="1:11" ht="42" customHeight="1">
      <c r="A16" s="301"/>
      <c r="B16" s="297"/>
      <c r="C16" s="316" t="s">
        <v>838</v>
      </c>
      <c r="D16" s="298"/>
      <c r="E16" s="254"/>
      <c r="F16" s="254"/>
      <c r="G16" s="254"/>
      <c r="H16" s="254"/>
      <c r="I16" s="317">
        <v>23166</v>
      </c>
      <c r="J16" s="315"/>
      <c r="K16" s="255">
        <f t="shared" si="4"/>
        <v>23166</v>
      </c>
    </row>
    <row r="17" spans="1:11" ht="85.5" customHeight="1">
      <c r="A17" s="301"/>
      <c r="B17" s="297"/>
      <c r="C17" s="316" t="s">
        <v>809</v>
      </c>
      <c r="D17" s="298"/>
      <c r="E17" s="254"/>
      <c r="F17" s="254"/>
      <c r="G17" s="254"/>
      <c r="H17" s="254"/>
      <c r="I17" s="317">
        <v>2808</v>
      </c>
      <c r="J17" s="315"/>
      <c r="K17" s="255">
        <f t="shared" si="4"/>
        <v>2808</v>
      </c>
    </row>
    <row r="18" spans="1:11" ht="42" customHeight="1">
      <c r="A18" s="301"/>
      <c r="B18" s="297"/>
      <c r="C18" s="316" t="s">
        <v>810</v>
      </c>
      <c r="D18" s="298"/>
      <c r="E18" s="254"/>
      <c r="F18" s="254"/>
      <c r="G18" s="254"/>
      <c r="H18" s="254"/>
      <c r="I18" s="317">
        <v>57000</v>
      </c>
      <c r="J18" s="315"/>
      <c r="K18" s="255">
        <f t="shared" si="4"/>
        <v>57000</v>
      </c>
    </row>
    <row r="19" spans="1:11" ht="42" customHeight="1">
      <c r="A19" s="301"/>
      <c r="B19" s="297"/>
      <c r="C19" s="316" t="s">
        <v>811</v>
      </c>
      <c r="D19" s="298"/>
      <c r="E19" s="254"/>
      <c r="F19" s="254"/>
      <c r="G19" s="254"/>
      <c r="H19" s="254"/>
      <c r="I19" s="317">
        <v>25966.53</v>
      </c>
      <c r="J19" s="315"/>
      <c r="K19" s="255">
        <f t="shared" si="4"/>
        <v>25966.53</v>
      </c>
    </row>
    <row r="20" spans="1:11" ht="42" customHeight="1">
      <c r="A20" s="297"/>
      <c r="B20" s="297"/>
      <c r="C20" s="310" t="s">
        <v>839</v>
      </c>
      <c r="D20" s="298" t="s">
        <v>848</v>
      </c>
      <c r="E20" s="254"/>
      <c r="F20" s="254"/>
      <c r="G20" s="254"/>
      <c r="H20" s="254">
        <f>E20+F20+G20</f>
        <v>0</v>
      </c>
      <c r="I20" s="254"/>
      <c r="J20" s="254"/>
      <c r="K20" s="254"/>
    </row>
    <row r="21" spans="1:11" ht="64.5" customHeight="1">
      <c r="A21" s="297"/>
      <c r="B21" s="297"/>
      <c r="C21" s="310" t="s">
        <v>850</v>
      </c>
      <c r="D21" s="298" t="s">
        <v>848</v>
      </c>
      <c r="E21" s="254"/>
      <c r="F21" s="254"/>
      <c r="G21" s="255"/>
      <c r="H21" s="254">
        <f t="shared" ref="H21:H36" si="5">E21+F21+G21</f>
        <v>0</v>
      </c>
      <c r="I21" s="254"/>
      <c r="J21" s="255"/>
      <c r="K21" s="254"/>
    </row>
    <row r="22" spans="1:11" ht="42" customHeight="1">
      <c r="A22" s="297"/>
      <c r="B22" s="297"/>
      <c r="C22" s="314" t="s">
        <v>631</v>
      </c>
      <c r="D22" s="298" t="s">
        <v>848</v>
      </c>
      <c r="E22" s="254"/>
      <c r="F22" s="254"/>
      <c r="G22" s="255"/>
      <c r="H22" s="254">
        <f t="shared" si="5"/>
        <v>0</v>
      </c>
      <c r="I22" s="254"/>
      <c r="J22" s="255"/>
      <c r="K22" s="254"/>
    </row>
    <row r="23" spans="1:11" ht="42" customHeight="1">
      <c r="A23" s="297"/>
      <c r="B23" s="297"/>
      <c r="C23" s="314" t="s">
        <v>840</v>
      </c>
      <c r="D23" s="298" t="s">
        <v>848</v>
      </c>
      <c r="E23" s="254"/>
      <c r="F23" s="254"/>
      <c r="G23" s="255"/>
      <c r="H23" s="254">
        <f t="shared" si="5"/>
        <v>0</v>
      </c>
      <c r="I23" s="254"/>
      <c r="J23" s="255"/>
      <c r="K23" s="254"/>
    </row>
    <row r="24" spans="1:11" ht="42" customHeight="1">
      <c r="A24" s="297"/>
      <c r="B24" s="297"/>
      <c r="C24" s="314" t="s">
        <v>841</v>
      </c>
      <c r="D24" s="298" t="s">
        <v>848</v>
      </c>
      <c r="E24" s="254"/>
      <c r="F24" s="254"/>
      <c r="G24" s="255"/>
      <c r="H24" s="254">
        <f t="shared" si="5"/>
        <v>0</v>
      </c>
      <c r="I24" s="254"/>
      <c r="J24" s="255"/>
      <c r="K24" s="254"/>
    </row>
    <row r="25" spans="1:11" ht="42" customHeight="1">
      <c r="A25" s="297"/>
      <c r="B25" s="297"/>
      <c r="C25" s="314" t="s">
        <v>842</v>
      </c>
      <c r="D25" s="298" t="s">
        <v>848</v>
      </c>
      <c r="E25" s="254"/>
      <c r="F25" s="254"/>
      <c r="G25" s="255"/>
      <c r="H25" s="254">
        <f t="shared" si="5"/>
        <v>0</v>
      </c>
      <c r="I25" s="254"/>
      <c r="J25" s="255"/>
      <c r="K25" s="254"/>
    </row>
    <row r="26" spans="1:11" ht="42" customHeight="1">
      <c r="A26" s="297"/>
      <c r="B26" s="297"/>
      <c r="C26" s="314" t="s">
        <v>843</v>
      </c>
      <c r="D26" s="298" t="s">
        <v>848</v>
      </c>
      <c r="E26" s="254"/>
      <c r="F26" s="254"/>
      <c r="G26" s="255"/>
      <c r="H26" s="254">
        <f t="shared" si="5"/>
        <v>0</v>
      </c>
      <c r="I26" s="254"/>
      <c r="J26" s="255"/>
      <c r="K26" s="254"/>
    </row>
    <row r="27" spans="1:11" ht="58.5" customHeight="1">
      <c r="A27" s="297"/>
      <c r="B27" s="297"/>
      <c r="C27" s="314" t="s">
        <v>844</v>
      </c>
      <c r="D27" s="298" t="s">
        <v>848</v>
      </c>
      <c r="E27" s="254"/>
      <c r="F27" s="254"/>
      <c r="G27" s="255"/>
      <c r="H27" s="254">
        <f t="shared" si="5"/>
        <v>0</v>
      </c>
      <c r="I27" s="254"/>
      <c r="J27" s="255"/>
      <c r="K27" s="254"/>
    </row>
    <row r="28" spans="1:11" ht="42" customHeight="1">
      <c r="A28" s="297"/>
      <c r="B28" s="297"/>
      <c r="C28" s="314" t="s">
        <v>632</v>
      </c>
      <c r="D28" s="298" t="s">
        <v>848</v>
      </c>
      <c r="E28" s="254"/>
      <c r="F28" s="254"/>
      <c r="G28" s="255"/>
      <c r="H28" s="254">
        <f t="shared" si="5"/>
        <v>0</v>
      </c>
      <c r="I28" s="254"/>
      <c r="J28" s="255"/>
      <c r="K28" s="254"/>
    </row>
    <row r="29" spans="1:11" ht="42" customHeight="1">
      <c r="A29" s="297"/>
      <c r="B29" s="297"/>
      <c r="C29" s="314" t="s">
        <v>845</v>
      </c>
      <c r="D29" s="298" t="s">
        <v>848</v>
      </c>
      <c r="E29" s="254"/>
      <c r="F29" s="254"/>
      <c r="G29" s="255"/>
      <c r="H29" s="254">
        <f t="shared" si="5"/>
        <v>0</v>
      </c>
      <c r="I29" s="254"/>
      <c r="J29" s="255"/>
      <c r="K29" s="254"/>
    </row>
    <row r="30" spans="1:11" ht="42" customHeight="1">
      <c r="A30" s="297"/>
      <c r="B30" s="297"/>
      <c r="C30" s="314" t="s">
        <v>633</v>
      </c>
      <c r="D30" s="298" t="s">
        <v>848</v>
      </c>
      <c r="E30" s="254"/>
      <c r="F30" s="255">
        <v>50000</v>
      </c>
      <c r="G30" s="255"/>
      <c r="H30" s="254">
        <f t="shared" si="5"/>
        <v>50000</v>
      </c>
      <c r="I30" s="254"/>
      <c r="J30" s="255"/>
      <c r="K30" s="254"/>
    </row>
    <row r="31" spans="1:11" ht="42" customHeight="1">
      <c r="A31" s="297"/>
      <c r="B31" s="297"/>
      <c r="C31" s="314" t="s">
        <v>846</v>
      </c>
      <c r="D31" s="298" t="s">
        <v>848</v>
      </c>
      <c r="E31" s="254"/>
      <c r="F31" s="254"/>
      <c r="G31" s="255"/>
      <c r="H31" s="254">
        <f t="shared" si="5"/>
        <v>0</v>
      </c>
      <c r="I31" s="254"/>
      <c r="J31" s="255"/>
      <c r="K31" s="254"/>
    </row>
    <row r="32" spans="1:11" ht="42" customHeight="1">
      <c r="A32" s="297"/>
      <c r="B32" s="297"/>
      <c r="C32" s="310" t="s">
        <v>847</v>
      </c>
      <c r="D32" s="298" t="s">
        <v>848</v>
      </c>
      <c r="E32" s="254">
        <v>228692.32</v>
      </c>
      <c r="F32" s="254"/>
      <c r="G32" s="255">
        <v>245000</v>
      </c>
      <c r="H32" s="254">
        <f t="shared" si="5"/>
        <v>473692.32</v>
      </c>
      <c r="I32" s="254"/>
      <c r="J32" s="255"/>
      <c r="K32" s="254"/>
    </row>
    <row r="33" spans="1:11" ht="42" customHeight="1">
      <c r="A33" s="297"/>
      <c r="B33" s="297"/>
      <c r="C33" s="310" t="s">
        <v>634</v>
      </c>
      <c r="D33" s="298" t="s">
        <v>848</v>
      </c>
      <c r="E33" s="254"/>
      <c r="F33" s="254"/>
      <c r="G33" s="255"/>
      <c r="H33" s="254">
        <f t="shared" si="5"/>
        <v>0</v>
      </c>
      <c r="I33" s="254"/>
      <c r="J33" s="255"/>
      <c r="K33" s="254"/>
    </row>
    <row r="34" spans="1:11" ht="42" customHeight="1">
      <c r="A34" s="297"/>
      <c r="B34" s="297"/>
      <c r="C34" s="310" t="s">
        <v>635</v>
      </c>
      <c r="D34" s="298" t="s">
        <v>848</v>
      </c>
      <c r="E34" s="254"/>
      <c r="F34" s="256"/>
      <c r="G34" s="254">
        <v>15000</v>
      </c>
      <c r="H34" s="254">
        <f t="shared" si="5"/>
        <v>15000</v>
      </c>
      <c r="I34" s="254"/>
      <c r="J34" s="254"/>
      <c r="K34" s="254"/>
    </row>
    <row r="35" spans="1:11" ht="42" customHeight="1">
      <c r="A35" s="297"/>
      <c r="B35" s="302"/>
      <c r="C35" s="310" t="s">
        <v>636</v>
      </c>
      <c r="D35" s="303" t="s">
        <v>849</v>
      </c>
      <c r="E35" s="254">
        <v>9200</v>
      </c>
      <c r="F35" s="254"/>
      <c r="G35" s="253"/>
      <c r="H35" s="254">
        <f t="shared" si="5"/>
        <v>9200</v>
      </c>
      <c r="I35" s="254"/>
      <c r="J35" s="253"/>
      <c r="K35" s="254"/>
    </row>
    <row r="36" spans="1:11" ht="42" customHeight="1">
      <c r="A36" s="297"/>
      <c r="B36" s="302"/>
      <c r="C36" s="310" t="s">
        <v>637</v>
      </c>
      <c r="D36" s="303" t="s">
        <v>848</v>
      </c>
      <c r="E36" s="254">
        <v>1308</v>
      </c>
      <c r="F36" s="254"/>
      <c r="G36" s="253"/>
      <c r="H36" s="254">
        <f t="shared" si="5"/>
        <v>1308</v>
      </c>
      <c r="I36" s="254"/>
      <c r="J36" s="253"/>
      <c r="K36" s="254"/>
    </row>
  </sheetData>
  <pageMargins left="0.11811023622047245" right="0.11811023622047245" top="0.74803149606299213" bottom="0.35433070866141736" header="0.31496062992125984" footer="0.31496062992125984"/>
  <pageSetup orientation="landscape" r:id="rId1"/>
  <headerFooter>
    <oddHeader>&amp;RPrilog br. 9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AG163"/>
  <sheetViews>
    <sheetView view="pageBreakPreview" topLeftCell="A116" zoomScale="88" zoomScaleNormal="85" zoomScaleSheetLayoutView="88" workbookViewId="0">
      <selection activeCell="W4" sqref="W4"/>
    </sheetView>
  </sheetViews>
  <sheetFormatPr defaultRowHeight="19.5"/>
  <cols>
    <col min="1" max="1" width="9" style="275" bestFit="1" customWidth="1"/>
    <col min="2" max="2" width="9.85546875" style="275" bestFit="1" customWidth="1"/>
    <col min="3" max="3" width="61.42578125" style="275" customWidth="1"/>
    <col min="4" max="18" width="0" style="275" hidden="1" customWidth="1"/>
    <col min="19" max="26" width="16" style="275" customWidth="1"/>
    <col min="27" max="27" width="10.85546875" style="2604" customWidth="1"/>
    <col min="28" max="28" width="14.28515625" style="995" customWidth="1"/>
    <col min="29" max="29" width="18.42578125" style="995" customWidth="1"/>
    <col min="30" max="30" width="17.85546875" style="1346" customWidth="1"/>
    <col min="31" max="31" width="13.7109375" customWidth="1"/>
    <col min="32" max="32" width="16.7109375" customWidth="1"/>
    <col min="33" max="33" width="10.28515625" bestFit="1" customWidth="1"/>
  </cols>
  <sheetData>
    <row r="1" spans="1:31">
      <c r="A1" s="3316" t="s">
        <v>1550</v>
      </c>
      <c r="B1" s="3316"/>
      <c r="C1" s="3316"/>
      <c r="D1" s="3316"/>
      <c r="E1" s="3316"/>
      <c r="F1" s="3316"/>
      <c r="G1" s="3316"/>
      <c r="H1" s="3316"/>
      <c r="I1" s="3316"/>
      <c r="J1" s="3316"/>
      <c r="K1" s="3316"/>
      <c r="L1" s="3316"/>
      <c r="M1" s="3316"/>
      <c r="N1" s="3316"/>
      <c r="O1" s="3316"/>
      <c r="P1" s="3316"/>
      <c r="Q1" s="3316"/>
      <c r="R1" s="3316"/>
      <c r="S1" s="3316"/>
      <c r="T1" s="3316"/>
      <c r="U1" s="3316"/>
      <c r="V1" s="3316"/>
      <c r="W1" s="2402"/>
      <c r="X1" s="2402"/>
      <c r="Y1" s="2402"/>
      <c r="Z1" s="2402"/>
    </row>
    <row r="2" spans="1:31" ht="39" customHeight="1" thickBot="1">
      <c r="C2" s="1255" t="s">
        <v>1485</v>
      </c>
    </row>
    <row r="3" spans="1:31" ht="49.15" customHeight="1" thickTop="1">
      <c r="A3" s="3324"/>
      <c r="B3" s="3326"/>
      <c r="C3" s="3328" t="s">
        <v>48</v>
      </c>
      <c r="D3" s="3319" t="s">
        <v>1351</v>
      </c>
      <c r="E3" s="3320"/>
      <c r="F3" s="3320"/>
      <c r="G3" s="3320"/>
      <c r="H3" s="3320"/>
      <c r="I3" s="3319" t="s">
        <v>1352</v>
      </c>
      <c r="J3" s="3320"/>
      <c r="K3" s="3320"/>
      <c r="L3" s="3320"/>
      <c r="M3" s="3321"/>
      <c r="N3" s="3319" t="s">
        <v>1353</v>
      </c>
      <c r="O3" s="3320"/>
      <c r="P3" s="3320"/>
      <c r="Q3" s="3320"/>
      <c r="R3" s="3320"/>
      <c r="S3" s="3322" t="s">
        <v>1354</v>
      </c>
      <c r="T3" s="3323"/>
      <c r="U3" s="3323"/>
      <c r="V3" s="3319"/>
      <c r="W3" s="3322" t="s">
        <v>1720</v>
      </c>
      <c r="X3" s="3323"/>
      <c r="Y3" s="3323"/>
      <c r="Z3" s="3319"/>
      <c r="AA3" s="3317" t="s">
        <v>49</v>
      </c>
      <c r="AB3" s="999"/>
      <c r="AC3" s="999"/>
      <c r="AD3" s="1347"/>
    </row>
    <row r="4" spans="1:31" ht="79.5" customHeight="1">
      <c r="A4" s="3325"/>
      <c r="B4" s="3327"/>
      <c r="C4" s="3329"/>
      <c r="D4" s="2605" t="s">
        <v>50</v>
      </c>
      <c r="E4" s="2606" t="s">
        <v>51</v>
      </c>
      <c r="F4" s="2606"/>
      <c r="G4" s="2607" t="s">
        <v>52</v>
      </c>
      <c r="H4" s="2608" t="s">
        <v>53</v>
      </c>
      <c r="I4" s="2609" t="s">
        <v>50</v>
      </c>
      <c r="J4" s="2606" t="s">
        <v>51</v>
      </c>
      <c r="K4" s="2606"/>
      <c r="L4" s="2607" t="s">
        <v>52</v>
      </c>
      <c r="M4" s="2608" t="s">
        <v>53</v>
      </c>
      <c r="N4" s="2609" t="s">
        <v>50</v>
      </c>
      <c r="O4" s="2606" t="s">
        <v>51</v>
      </c>
      <c r="P4" s="2606"/>
      <c r="Q4" s="2607" t="s">
        <v>52</v>
      </c>
      <c r="R4" s="2610" t="s">
        <v>53</v>
      </c>
      <c r="S4" s="2611" t="s">
        <v>50</v>
      </c>
      <c r="T4" s="2612" t="s">
        <v>51</v>
      </c>
      <c r="U4" s="2613" t="s">
        <v>1343</v>
      </c>
      <c r="V4" s="2614" t="s">
        <v>53</v>
      </c>
      <c r="W4" s="2611" t="s">
        <v>50</v>
      </c>
      <c r="X4" s="2612" t="s">
        <v>51</v>
      </c>
      <c r="Y4" s="2613" t="s">
        <v>1343</v>
      </c>
      <c r="Z4" s="2614" t="s">
        <v>53</v>
      </c>
      <c r="AA4" s="3318"/>
      <c r="AB4" s="999"/>
      <c r="AC4" s="999"/>
      <c r="AD4" s="1347"/>
    </row>
    <row r="5" spans="1:31" ht="39">
      <c r="A5" s="2974"/>
      <c r="B5" s="2975"/>
      <c r="C5" s="2976"/>
      <c r="D5" s="2977">
        <v>5</v>
      </c>
      <c r="E5" s="2978">
        <v>6</v>
      </c>
      <c r="F5" s="2978"/>
      <c r="G5" s="2979">
        <v>7</v>
      </c>
      <c r="H5" s="2980" t="s">
        <v>1355</v>
      </c>
      <c r="I5" s="2981">
        <v>5</v>
      </c>
      <c r="J5" s="2978">
        <v>6</v>
      </c>
      <c r="K5" s="2978"/>
      <c r="L5" s="2979">
        <v>7</v>
      </c>
      <c r="M5" s="2980" t="s">
        <v>1355</v>
      </c>
      <c r="N5" s="2981">
        <v>5</v>
      </c>
      <c r="O5" s="2978">
        <v>6</v>
      </c>
      <c r="P5" s="2978"/>
      <c r="Q5" s="2979">
        <v>7</v>
      </c>
      <c r="R5" s="2982" t="s">
        <v>1355</v>
      </c>
      <c r="S5" s="2983">
        <v>1</v>
      </c>
      <c r="T5" s="2984">
        <v>2</v>
      </c>
      <c r="U5" s="2985">
        <v>3</v>
      </c>
      <c r="V5" s="2986" t="s">
        <v>653</v>
      </c>
      <c r="W5" s="2983">
        <v>5</v>
      </c>
      <c r="X5" s="2984">
        <v>6</v>
      </c>
      <c r="Y5" s="2985">
        <v>7</v>
      </c>
      <c r="Z5" s="2986" t="s">
        <v>54</v>
      </c>
      <c r="AA5" s="2987">
        <v>9</v>
      </c>
      <c r="AB5" s="1000"/>
      <c r="AC5" s="1000"/>
      <c r="AD5" s="1348"/>
    </row>
    <row r="6" spans="1:31" ht="34.15" customHeight="1">
      <c r="A6" s="2615"/>
      <c r="B6" s="2619"/>
      <c r="C6" s="2620" t="s">
        <v>55</v>
      </c>
      <c r="D6" s="2621">
        <f t="shared" ref="D6:V6" si="0">SUM(D7,D26,D31)</f>
        <v>18101283.280000001</v>
      </c>
      <c r="E6" s="2622">
        <f t="shared" si="0"/>
        <v>1013983.3900000001</v>
      </c>
      <c r="F6" s="2622">
        <f t="shared" si="0"/>
        <v>836586.52</v>
      </c>
      <c r="G6" s="2623">
        <f t="shared" si="0"/>
        <v>0</v>
      </c>
      <c r="H6" s="2624">
        <f t="shared" si="0"/>
        <v>19951853.189999998</v>
      </c>
      <c r="I6" s="2625">
        <f t="shared" si="0"/>
        <v>20783040.280000001</v>
      </c>
      <c r="J6" s="2622">
        <f t="shared" si="0"/>
        <v>1188151.6599999999</v>
      </c>
      <c r="K6" s="2622">
        <f t="shared" si="0"/>
        <v>836586.52</v>
      </c>
      <c r="L6" s="2623">
        <f t="shared" si="0"/>
        <v>0</v>
      </c>
      <c r="M6" s="2624">
        <f t="shared" si="0"/>
        <v>22807778.459999997</v>
      </c>
      <c r="N6" s="2625">
        <f t="shared" si="0"/>
        <v>23561858.119999997</v>
      </c>
      <c r="O6" s="2622">
        <f t="shared" si="0"/>
        <v>1365128.99</v>
      </c>
      <c r="P6" s="2622">
        <f t="shared" si="0"/>
        <v>836586.52</v>
      </c>
      <c r="Q6" s="2623">
        <f t="shared" si="0"/>
        <v>0</v>
      </c>
      <c r="R6" s="2626">
        <f t="shared" si="0"/>
        <v>25763573.629999999</v>
      </c>
      <c r="S6" s="2625">
        <f t="shared" si="0"/>
        <v>31605450</v>
      </c>
      <c r="T6" s="2622">
        <f t="shared" si="0"/>
        <v>2657236</v>
      </c>
      <c r="U6" s="2623">
        <f t="shared" si="0"/>
        <v>0</v>
      </c>
      <c r="V6" s="2627">
        <f t="shared" si="0"/>
        <v>34262686</v>
      </c>
      <c r="W6" s="2625">
        <f t="shared" ref="W6:Z6" si="1">SUM(W7,W26,W31)</f>
        <v>31794200</v>
      </c>
      <c r="X6" s="2622">
        <f t="shared" si="1"/>
        <v>1640800</v>
      </c>
      <c r="Y6" s="2623">
        <f t="shared" si="1"/>
        <v>0</v>
      </c>
      <c r="Z6" s="2627">
        <f t="shared" si="1"/>
        <v>33435000</v>
      </c>
      <c r="AA6" s="2628">
        <f>Z6/V6*100</f>
        <v>97.584293303799939</v>
      </c>
      <c r="AB6" s="1350">
        <f>'[1]PRIH REBALANS'!$AG$41</f>
        <v>31794200</v>
      </c>
      <c r="AC6" s="1350">
        <f>'[1]PRIH REBALANS'!$AH$41</f>
        <v>1640800</v>
      </c>
      <c r="AD6" s="1349">
        <f t="shared" ref="AD6:AD69" si="2">W6+X6+Y6-Z6</f>
        <v>0</v>
      </c>
      <c r="AE6" s="209" t="e">
        <f>S6-#REF!</f>
        <v>#REF!</v>
      </c>
    </row>
    <row r="7" spans="1:31" ht="34.15" customHeight="1">
      <c r="A7" s="2629"/>
      <c r="B7" s="2630"/>
      <c r="C7" s="2631" t="s">
        <v>56</v>
      </c>
      <c r="D7" s="2632">
        <f t="shared" ref="D7:V7" si="3">SUM(D8,D14,D17,D24:D25)</f>
        <v>10722730.32</v>
      </c>
      <c r="E7" s="2633">
        <f t="shared" si="3"/>
        <v>0</v>
      </c>
      <c r="F7" s="2634">
        <f t="shared" si="3"/>
        <v>0</v>
      </c>
      <c r="G7" s="2635">
        <f t="shared" si="3"/>
        <v>0</v>
      </c>
      <c r="H7" s="2636">
        <f t="shared" si="3"/>
        <v>10722730.32</v>
      </c>
      <c r="I7" s="2633">
        <f t="shared" si="3"/>
        <v>12131358.15</v>
      </c>
      <c r="J7" s="2633">
        <f t="shared" si="3"/>
        <v>0</v>
      </c>
      <c r="K7" s="2634">
        <f t="shared" si="3"/>
        <v>0</v>
      </c>
      <c r="L7" s="2635">
        <f t="shared" si="3"/>
        <v>0</v>
      </c>
      <c r="M7" s="2636">
        <f t="shared" si="3"/>
        <v>12131358.15</v>
      </c>
      <c r="N7" s="2633">
        <f t="shared" si="3"/>
        <v>13694286.529999999</v>
      </c>
      <c r="O7" s="2633">
        <f t="shared" si="3"/>
        <v>0</v>
      </c>
      <c r="P7" s="2634">
        <f t="shared" si="3"/>
        <v>0</v>
      </c>
      <c r="Q7" s="2635">
        <f t="shared" si="3"/>
        <v>0</v>
      </c>
      <c r="R7" s="2637">
        <f t="shared" si="3"/>
        <v>13694286.529999999</v>
      </c>
      <c r="S7" s="2633">
        <f t="shared" si="3"/>
        <v>18359100</v>
      </c>
      <c r="T7" s="2634">
        <f t="shared" si="3"/>
        <v>0</v>
      </c>
      <c r="U7" s="2635">
        <f t="shared" si="3"/>
        <v>0</v>
      </c>
      <c r="V7" s="2638">
        <f t="shared" si="3"/>
        <v>18359100</v>
      </c>
      <c r="W7" s="2633">
        <f t="shared" ref="W7:Z7" si="4">SUM(W8,W14,W17,W24:W25)</f>
        <v>18093800</v>
      </c>
      <c r="X7" s="2634">
        <f t="shared" si="4"/>
        <v>0</v>
      </c>
      <c r="Y7" s="2635">
        <f t="shared" si="4"/>
        <v>0</v>
      </c>
      <c r="Z7" s="2638">
        <f t="shared" si="4"/>
        <v>18093800</v>
      </c>
      <c r="AA7" s="2639">
        <f>Z7/V7*100</f>
        <v>98.554940056974473</v>
      </c>
      <c r="AB7" s="1351"/>
      <c r="AC7" s="1351">
        <f>Z6-'[1]PRIH REBALANS'!$AK$41</f>
        <v>0</v>
      </c>
      <c r="AD7" s="1349">
        <f t="shared" si="2"/>
        <v>0</v>
      </c>
      <c r="AE7" s="209" t="e">
        <f>S7-#REF!</f>
        <v>#REF!</v>
      </c>
    </row>
    <row r="8" spans="1:31" ht="34.15" customHeight="1">
      <c r="A8" s="2640">
        <v>111</v>
      </c>
      <c r="B8" s="2630">
        <v>711100</v>
      </c>
      <c r="C8" s="2631" t="s">
        <v>1356</v>
      </c>
      <c r="D8" s="2641">
        <f t="shared" ref="D8:V8" si="5">SUM(D9:D13)</f>
        <v>8012.52</v>
      </c>
      <c r="E8" s="2642">
        <f t="shared" si="5"/>
        <v>0</v>
      </c>
      <c r="F8" s="2643">
        <f t="shared" si="5"/>
        <v>0</v>
      </c>
      <c r="G8" s="2635">
        <f t="shared" si="5"/>
        <v>0</v>
      </c>
      <c r="H8" s="2636">
        <f t="shared" si="5"/>
        <v>8012.52</v>
      </c>
      <c r="I8" s="2642">
        <f t="shared" si="5"/>
        <v>8442.77</v>
      </c>
      <c r="J8" s="2642">
        <f t="shared" si="5"/>
        <v>0</v>
      </c>
      <c r="K8" s="2643">
        <f t="shared" si="5"/>
        <v>0</v>
      </c>
      <c r="L8" s="2635">
        <f t="shared" si="5"/>
        <v>0</v>
      </c>
      <c r="M8" s="2636">
        <f t="shared" si="5"/>
        <v>8442.77</v>
      </c>
      <c r="N8" s="2642">
        <f t="shared" si="5"/>
        <v>8638.27</v>
      </c>
      <c r="O8" s="2642">
        <f t="shared" si="5"/>
        <v>0</v>
      </c>
      <c r="P8" s="2643">
        <f t="shared" si="5"/>
        <v>0</v>
      </c>
      <c r="Q8" s="2635">
        <f t="shared" si="5"/>
        <v>0</v>
      </c>
      <c r="R8" s="2637">
        <f t="shared" si="5"/>
        <v>8638.27</v>
      </c>
      <c r="S8" s="2642">
        <f t="shared" si="5"/>
        <v>11700</v>
      </c>
      <c r="T8" s="2643">
        <f t="shared" si="5"/>
        <v>0</v>
      </c>
      <c r="U8" s="2644">
        <f t="shared" si="5"/>
        <v>0</v>
      </c>
      <c r="V8" s="2638">
        <f t="shared" si="5"/>
        <v>11700</v>
      </c>
      <c r="W8" s="2642">
        <f t="shared" ref="W8:Z8" si="6">SUM(W9:W13)</f>
        <v>13300</v>
      </c>
      <c r="X8" s="2643">
        <f t="shared" si="6"/>
        <v>0</v>
      </c>
      <c r="Y8" s="2644">
        <f t="shared" si="6"/>
        <v>0</v>
      </c>
      <c r="Z8" s="2638">
        <f t="shared" si="6"/>
        <v>13300</v>
      </c>
      <c r="AA8" s="2639">
        <f t="shared" ref="AA8:AA71" si="7">Z8/V8*100</f>
        <v>113.67521367521367</v>
      </c>
      <c r="AB8" s="1351">
        <f>'[1]PRIH REBALANS'!$AK$43</f>
        <v>13300</v>
      </c>
      <c r="AC8" s="1351"/>
      <c r="AD8" s="1349">
        <f t="shared" si="2"/>
        <v>0</v>
      </c>
      <c r="AE8" s="209" t="e">
        <f>S8-#REF!</f>
        <v>#REF!</v>
      </c>
    </row>
    <row r="9" spans="1:31" ht="34.15" customHeight="1">
      <c r="A9" s="2645"/>
      <c r="B9" s="2646">
        <v>711111</v>
      </c>
      <c r="C9" s="2647" t="s">
        <v>59</v>
      </c>
      <c r="D9" s="2648">
        <v>5710.76</v>
      </c>
      <c r="E9" s="2649"/>
      <c r="F9" s="2649"/>
      <c r="G9" s="2650"/>
      <c r="H9" s="2651">
        <f>D9+E9+G9</f>
        <v>5710.76</v>
      </c>
      <c r="I9" s="2652">
        <v>5915.9</v>
      </c>
      <c r="J9" s="2649"/>
      <c r="K9" s="2649"/>
      <c r="L9" s="2650"/>
      <c r="M9" s="2651">
        <f>I9+J9+L9</f>
        <v>5915.9</v>
      </c>
      <c r="N9" s="2652">
        <v>6014.29</v>
      </c>
      <c r="O9" s="2649"/>
      <c r="P9" s="2649"/>
      <c r="Q9" s="2650"/>
      <c r="R9" s="2653">
        <f>N9+O9+Q9</f>
        <v>6014.29</v>
      </c>
      <c r="S9" s="2652">
        <v>8000</v>
      </c>
      <c r="T9" s="2649">
        <f t="shared" ref="T9:U13" si="8">O9/9*12</f>
        <v>0</v>
      </c>
      <c r="U9" s="2654">
        <f t="shared" si="8"/>
        <v>0</v>
      </c>
      <c r="V9" s="2655">
        <f>S9+T9</f>
        <v>8000</v>
      </c>
      <c r="W9" s="2656">
        <v>9000</v>
      </c>
      <c r="X9" s="2649"/>
      <c r="Y9" s="2654">
        <f t="shared" ref="Y9:Y13" si="9">T9/9*12</f>
        <v>0</v>
      </c>
      <c r="Z9" s="2655">
        <f>W9+X9</f>
        <v>9000</v>
      </c>
      <c r="AA9" s="2639">
        <f t="shared" si="7"/>
        <v>112.5</v>
      </c>
      <c r="AB9" s="1351"/>
      <c r="AC9" s="1351"/>
      <c r="AD9" s="1349">
        <f t="shared" si="2"/>
        <v>0</v>
      </c>
      <c r="AE9" s="209" t="e">
        <f>S9-#REF!</f>
        <v>#REF!</v>
      </c>
    </row>
    <row r="10" spans="1:31" ht="34.15" customHeight="1">
      <c r="A10" s="2645"/>
      <c r="B10" s="2646">
        <v>711112</v>
      </c>
      <c r="C10" s="2647" t="s">
        <v>60</v>
      </c>
      <c r="D10" s="2648">
        <v>500</v>
      </c>
      <c r="E10" s="2649"/>
      <c r="F10" s="2649"/>
      <c r="G10" s="2650"/>
      <c r="H10" s="2651">
        <f>D10+E10+G10</f>
        <v>500</v>
      </c>
      <c r="I10" s="2652">
        <v>500</v>
      </c>
      <c r="J10" s="2649"/>
      <c r="K10" s="2649"/>
      <c r="L10" s="2650"/>
      <c r="M10" s="2651">
        <f>I10+J10+L10</f>
        <v>500</v>
      </c>
      <c r="N10" s="2652">
        <v>500</v>
      </c>
      <c r="O10" s="2649"/>
      <c r="P10" s="2649"/>
      <c r="Q10" s="2650"/>
      <c r="R10" s="2653">
        <f>N10+O10+Q10</f>
        <v>500</v>
      </c>
      <c r="S10" s="2652">
        <v>700</v>
      </c>
      <c r="T10" s="2649">
        <f t="shared" si="8"/>
        <v>0</v>
      </c>
      <c r="U10" s="2654">
        <f t="shared" si="8"/>
        <v>0</v>
      </c>
      <c r="V10" s="2655">
        <f t="shared" ref="V10:V23" si="10">S10+T10</f>
        <v>700</v>
      </c>
      <c r="W10" s="2656">
        <v>1100</v>
      </c>
      <c r="X10" s="2649"/>
      <c r="Y10" s="2654">
        <f t="shared" si="9"/>
        <v>0</v>
      </c>
      <c r="Z10" s="2655">
        <f t="shared" ref="Z10:Z13" si="11">W10+X10</f>
        <v>1100</v>
      </c>
      <c r="AA10" s="2639">
        <f t="shared" si="7"/>
        <v>157.14285714285714</v>
      </c>
      <c r="AB10" s="1351"/>
      <c r="AC10" s="1351"/>
      <c r="AD10" s="1349">
        <f t="shared" si="2"/>
        <v>0</v>
      </c>
      <c r="AE10" s="209" t="e">
        <f>S10-#REF!</f>
        <v>#REF!</v>
      </c>
    </row>
    <row r="11" spans="1:31" ht="34.15" customHeight="1">
      <c r="A11" s="2645"/>
      <c r="B11" s="2646">
        <v>711113</v>
      </c>
      <c r="C11" s="2647" t="s">
        <v>61</v>
      </c>
      <c r="D11" s="2648">
        <v>55.5</v>
      </c>
      <c r="E11" s="2649"/>
      <c r="F11" s="2649"/>
      <c r="G11" s="2650"/>
      <c r="H11" s="2651">
        <f>D11+E11+G11</f>
        <v>55.5</v>
      </c>
      <c r="I11" s="2652">
        <v>55.5</v>
      </c>
      <c r="J11" s="2649"/>
      <c r="K11" s="2649"/>
      <c r="L11" s="2650"/>
      <c r="M11" s="2651">
        <f>I11+J11+L11</f>
        <v>55.5</v>
      </c>
      <c r="N11" s="2652">
        <v>55.5</v>
      </c>
      <c r="O11" s="2649"/>
      <c r="P11" s="2649"/>
      <c r="Q11" s="2650"/>
      <c r="R11" s="2653">
        <f>N11+O11+Q11</f>
        <v>55.5</v>
      </c>
      <c r="S11" s="2652">
        <v>100</v>
      </c>
      <c r="T11" s="2649">
        <f t="shared" si="8"/>
        <v>0</v>
      </c>
      <c r="U11" s="2654">
        <f t="shared" si="8"/>
        <v>0</v>
      </c>
      <c r="V11" s="2655">
        <f t="shared" si="10"/>
        <v>100</v>
      </c>
      <c r="W11" s="2656">
        <v>100</v>
      </c>
      <c r="X11" s="2649"/>
      <c r="Y11" s="2654">
        <f t="shared" si="9"/>
        <v>0</v>
      </c>
      <c r="Z11" s="2655">
        <f t="shared" si="11"/>
        <v>100</v>
      </c>
      <c r="AA11" s="2639">
        <f t="shared" si="7"/>
        <v>100</v>
      </c>
      <c r="AB11" s="1351"/>
      <c r="AC11" s="1351"/>
      <c r="AD11" s="1349">
        <f t="shared" si="2"/>
        <v>0</v>
      </c>
      <c r="AE11" s="209" t="e">
        <f>S11-#REF!</f>
        <v>#REF!</v>
      </c>
    </row>
    <row r="12" spans="1:31" ht="34.15" customHeight="1">
      <c r="A12" s="2645"/>
      <c r="B12" s="2646">
        <v>711114</v>
      </c>
      <c r="C12" s="2647" t="s">
        <v>62</v>
      </c>
      <c r="D12" s="2648"/>
      <c r="E12" s="2649"/>
      <c r="F12" s="2649"/>
      <c r="G12" s="2650"/>
      <c r="H12" s="2651">
        <f>D12+E12+G12</f>
        <v>0</v>
      </c>
      <c r="I12" s="2652"/>
      <c r="J12" s="2649"/>
      <c r="K12" s="2649"/>
      <c r="L12" s="2650"/>
      <c r="M12" s="2651">
        <f>I12+J12+L12</f>
        <v>0</v>
      </c>
      <c r="N12" s="2652"/>
      <c r="O12" s="2649"/>
      <c r="P12" s="2649"/>
      <c r="Q12" s="2650"/>
      <c r="R12" s="2653">
        <f>N12+O12+Q12</f>
        <v>0</v>
      </c>
      <c r="S12" s="2652">
        <v>100</v>
      </c>
      <c r="T12" s="2649">
        <f t="shared" si="8"/>
        <v>0</v>
      </c>
      <c r="U12" s="2654">
        <f t="shared" si="8"/>
        <v>0</v>
      </c>
      <c r="V12" s="2655">
        <f t="shared" si="10"/>
        <v>100</v>
      </c>
      <c r="W12" s="2656">
        <v>100</v>
      </c>
      <c r="X12" s="2649"/>
      <c r="Y12" s="2654">
        <f t="shared" si="9"/>
        <v>0</v>
      </c>
      <c r="Z12" s="2655">
        <f t="shared" si="11"/>
        <v>100</v>
      </c>
      <c r="AA12" s="2639">
        <f t="shared" si="7"/>
        <v>100</v>
      </c>
      <c r="AB12" s="1351"/>
      <c r="AC12" s="1351"/>
      <c r="AD12" s="1349">
        <f t="shared" si="2"/>
        <v>0</v>
      </c>
      <c r="AE12" s="209" t="e">
        <f>S12-#REF!</f>
        <v>#REF!</v>
      </c>
    </row>
    <row r="13" spans="1:31" ht="34.15" customHeight="1">
      <c r="A13" s="2645"/>
      <c r="B13" s="2646">
        <v>711115</v>
      </c>
      <c r="C13" s="2647" t="s">
        <v>63</v>
      </c>
      <c r="D13" s="2648">
        <v>1746.26</v>
      </c>
      <c r="E13" s="2649"/>
      <c r="F13" s="2649"/>
      <c r="G13" s="2650"/>
      <c r="H13" s="2651">
        <f>D13+E13+G13</f>
        <v>1746.26</v>
      </c>
      <c r="I13" s="2652">
        <v>1971.37</v>
      </c>
      <c r="J13" s="2649"/>
      <c r="K13" s="2649"/>
      <c r="L13" s="2650"/>
      <c r="M13" s="2651">
        <f>I13+J13+L13</f>
        <v>1971.37</v>
      </c>
      <c r="N13" s="2652">
        <v>2068.48</v>
      </c>
      <c r="O13" s="2649"/>
      <c r="P13" s="2649"/>
      <c r="Q13" s="2650"/>
      <c r="R13" s="2653">
        <f>N13+O13+Q13</f>
        <v>2068.48</v>
      </c>
      <c r="S13" s="2652">
        <v>2800</v>
      </c>
      <c r="T13" s="2649">
        <f t="shared" si="8"/>
        <v>0</v>
      </c>
      <c r="U13" s="2654">
        <f t="shared" si="8"/>
        <v>0</v>
      </c>
      <c r="V13" s="2655">
        <f t="shared" si="10"/>
        <v>2800</v>
      </c>
      <c r="W13" s="2656">
        <v>3000</v>
      </c>
      <c r="X13" s="2649"/>
      <c r="Y13" s="2654">
        <f t="shared" si="9"/>
        <v>0</v>
      </c>
      <c r="Z13" s="2655">
        <f t="shared" si="11"/>
        <v>3000</v>
      </c>
      <c r="AA13" s="2639">
        <f t="shared" si="7"/>
        <v>107.14285714285714</v>
      </c>
      <c r="AB13" s="1351"/>
      <c r="AC13" s="1351"/>
      <c r="AD13" s="1349">
        <f t="shared" si="2"/>
        <v>0</v>
      </c>
      <c r="AE13" s="209" t="e">
        <f>S13-#REF!</f>
        <v>#REF!</v>
      </c>
    </row>
    <row r="14" spans="1:31" ht="34.15" customHeight="1">
      <c r="A14" s="2640">
        <v>111</v>
      </c>
      <c r="B14" s="2630">
        <v>713000</v>
      </c>
      <c r="C14" s="2631" t="s">
        <v>1357</v>
      </c>
      <c r="D14" s="2641">
        <f t="shared" ref="D14:V14" si="12">SUM(D15:D16)</f>
        <v>3107.26</v>
      </c>
      <c r="E14" s="2643">
        <f t="shared" si="12"/>
        <v>0</v>
      </c>
      <c r="F14" s="2643">
        <f t="shared" si="12"/>
        <v>0</v>
      </c>
      <c r="G14" s="2635">
        <f t="shared" si="12"/>
        <v>0</v>
      </c>
      <c r="H14" s="2636">
        <f t="shared" si="12"/>
        <v>3107.26</v>
      </c>
      <c r="I14" s="2642">
        <f t="shared" si="12"/>
        <v>3476.2000000000003</v>
      </c>
      <c r="J14" s="2643">
        <f t="shared" si="12"/>
        <v>0</v>
      </c>
      <c r="K14" s="2643">
        <f t="shared" si="12"/>
        <v>0</v>
      </c>
      <c r="L14" s="2635">
        <f t="shared" si="12"/>
        <v>0</v>
      </c>
      <c r="M14" s="2636">
        <f t="shared" si="12"/>
        <v>3476.2000000000003</v>
      </c>
      <c r="N14" s="2642">
        <f t="shared" si="12"/>
        <v>3946.79</v>
      </c>
      <c r="O14" s="2643">
        <f t="shared" si="12"/>
        <v>0</v>
      </c>
      <c r="P14" s="2643">
        <f t="shared" si="12"/>
        <v>0</v>
      </c>
      <c r="Q14" s="2635">
        <f t="shared" si="12"/>
        <v>0</v>
      </c>
      <c r="R14" s="2637">
        <f t="shared" si="12"/>
        <v>3946.79</v>
      </c>
      <c r="S14" s="2642">
        <f t="shared" si="12"/>
        <v>5400</v>
      </c>
      <c r="T14" s="2643">
        <f t="shared" si="12"/>
        <v>0</v>
      </c>
      <c r="U14" s="2644">
        <f t="shared" si="12"/>
        <v>0</v>
      </c>
      <c r="V14" s="2638">
        <f t="shared" si="12"/>
        <v>5400</v>
      </c>
      <c r="W14" s="2642">
        <f t="shared" ref="W14:Z14" si="13">SUM(W15:W16)</f>
        <v>8500</v>
      </c>
      <c r="X14" s="2643">
        <f t="shared" si="13"/>
        <v>0</v>
      </c>
      <c r="Y14" s="2644">
        <f t="shared" si="13"/>
        <v>0</v>
      </c>
      <c r="Z14" s="2638">
        <f t="shared" si="13"/>
        <v>8500</v>
      </c>
      <c r="AA14" s="2639">
        <f t="shared" si="7"/>
        <v>157.40740740740742</v>
      </c>
      <c r="AB14" s="1351">
        <f>'[1]PRIH REBALANS'!$AK$49</f>
        <v>8500</v>
      </c>
      <c r="AC14" s="1002"/>
      <c r="AD14" s="1349">
        <f t="shared" si="2"/>
        <v>0</v>
      </c>
      <c r="AE14" s="209" t="e">
        <f>S14-#REF!</f>
        <v>#REF!</v>
      </c>
    </row>
    <row r="15" spans="1:31" ht="34.15" customHeight="1">
      <c r="A15" s="2645"/>
      <c r="B15" s="2646">
        <v>713111</v>
      </c>
      <c r="C15" s="2647" t="s">
        <v>65</v>
      </c>
      <c r="D15" s="2657">
        <v>1210.51</v>
      </c>
      <c r="E15" s="2649"/>
      <c r="F15" s="2649"/>
      <c r="G15" s="2650"/>
      <c r="H15" s="2651">
        <f>D15+E15+G15</f>
        <v>1210.51</v>
      </c>
      <c r="I15" s="2658">
        <v>1336.13</v>
      </c>
      <c r="J15" s="2649"/>
      <c r="K15" s="2649"/>
      <c r="L15" s="2650"/>
      <c r="M15" s="2651">
        <f>I15+J15+L15</f>
        <v>1336.13</v>
      </c>
      <c r="N15" s="2658">
        <v>1608.5</v>
      </c>
      <c r="O15" s="2649"/>
      <c r="P15" s="2649"/>
      <c r="Q15" s="2650"/>
      <c r="R15" s="2653">
        <f>N15+O15+Q15</f>
        <v>1608.5</v>
      </c>
      <c r="S15" s="2652">
        <v>2200</v>
      </c>
      <c r="T15" s="2649"/>
      <c r="U15" s="2654"/>
      <c r="V15" s="2655">
        <f t="shared" si="10"/>
        <v>2200</v>
      </c>
      <c r="W15" s="2656">
        <v>3500</v>
      </c>
      <c r="X15" s="2649"/>
      <c r="Y15" s="2654"/>
      <c r="Z15" s="2655">
        <f t="shared" ref="Z15:Z16" si="14">W15+X15</f>
        <v>3500</v>
      </c>
      <c r="AA15" s="2639">
        <f t="shared" si="7"/>
        <v>159.09090909090909</v>
      </c>
      <c r="AB15" s="1351"/>
      <c r="AC15" s="1351"/>
      <c r="AD15" s="1349">
        <f t="shared" si="2"/>
        <v>0</v>
      </c>
      <c r="AE15" s="209" t="e">
        <f>S15-#REF!</f>
        <v>#REF!</v>
      </c>
    </row>
    <row r="16" spans="1:31" ht="34.15" customHeight="1">
      <c r="A16" s="2645"/>
      <c r="B16" s="2646">
        <v>713113</v>
      </c>
      <c r="C16" s="2647" t="s">
        <v>66</v>
      </c>
      <c r="D16" s="2657">
        <v>1896.75</v>
      </c>
      <c r="E16" s="2649"/>
      <c r="F16" s="2649"/>
      <c r="G16" s="2650"/>
      <c r="H16" s="2651">
        <f>D16+E16+G16</f>
        <v>1896.75</v>
      </c>
      <c r="I16" s="2658">
        <v>2140.0700000000002</v>
      </c>
      <c r="J16" s="2649"/>
      <c r="K16" s="2649"/>
      <c r="L16" s="2650"/>
      <c r="M16" s="2651">
        <f>I16+J16+L16</f>
        <v>2140.0700000000002</v>
      </c>
      <c r="N16" s="2658">
        <v>2338.29</v>
      </c>
      <c r="O16" s="2649"/>
      <c r="P16" s="2649"/>
      <c r="Q16" s="2650"/>
      <c r="R16" s="2653">
        <f>N16+O16+Q16</f>
        <v>2338.29</v>
      </c>
      <c r="S16" s="2652">
        <v>3200</v>
      </c>
      <c r="T16" s="2649"/>
      <c r="U16" s="2654"/>
      <c r="V16" s="2655">
        <f t="shared" si="10"/>
        <v>3200</v>
      </c>
      <c r="W16" s="2656">
        <v>5000</v>
      </c>
      <c r="X16" s="2649"/>
      <c r="Y16" s="2654"/>
      <c r="Z16" s="2655">
        <f t="shared" si="14"/>
        <v>5000</v>
      </c>
      <c r="AA16" s="2639">
        <f t="shared" si="7"/>
        <v>156.25</v>
      </c>
      <c r="AB16" s="1351"/>
      <c r="AC16" s="1351"/>
      <c r="AD16" s="1349">
        <f t="shared" si="2"/>
        <v>0</v>
      </c>
      <c r="AE16" s="209" t="e">
        <f>S16-#REF!</f>
        <v>#REF!</v>
      </c>
    </row>
    <row r="17" spans="1:33" ht="34.15" customHeight="1">
      <c r="A17" s="2640">
        <v>111</v>
      </c>
      <c r="B17" s="2646"/>
      <c r="C17" s="2631" t="s">
        <v>1358</v>
      </c>
      <c r="D17" s="2641">
        <f>SUM(D18:D22,D23)</f>
        <v>3973821.52</v>
      </c>
      <c r="E17" s="2642">
        <f>SUM(E18:E22,E23)</f>
        <v>0</v>
      </c>
      <c r="F17" s="2643">
        <f>SUM(F18:F22)</f>
        <v>0</v>
      </c>
      <c r="G17" s="2635">
        <f>SUM(G18:G22,G23)</f>
        <v>0</v>
      </c>
      <c r="H17" s="2636">
        <f>SUM(H18:H22,H23)</f>
        <v>3973821.52</v>
      </c>
      <c r="I17" s="2642">
        <f>SUM(I18:I22,I23)</f>
        <v>4436958.4000000004</v>
      </c>
      <c r="J17" s="2642">
        <f>SUM(J18:J22,J23)</f>
        <v>0</v>
      </c>
      <c r="K17" s="2643">
        <f>SUM(K18:K22)</f>
        <v>0</v>
      </c>
      <c r="L17" s="2635">
        <f>SUM(L18:L22,L23)</f>
        <v>0</v>
      </c>
      <c r="M17" s="2636">
        <f>SUM(M18:M22,M23)</f>
        <v>4436958.4000000004</v>
      </c>
      <c r="N17" s="2642">
        <f>SUM(N18:N22,N23)</f>
        <v>5025077.87</v>
      </c>
      <c r="O17" s="2642">
        <f>SUM(O18:O22,O23)</f>
        <v>0</v>
      </c>
      <c r="P17" s="2643">
        <f>SUM(P18:P22)</f>
        <v>0</v>
      </c>
      <c r="Q17" s="2635">
        <f>SUM(Q18:Q22,Q23)</f>
        <v>0</v>
      </c>
      <c r="R17" s="2637">
        <f>SUM(R18:R22,R23)</f>
        <v>5025077.87</v>
      </c>
      <c r="S17" s="2642">
        <f>SUM(S18:S22,S23)</f>
        <v>6701000</v>
      </c>
      <c r="T17" s="2643">
        <f>SUM(T18:T22,T23)</f>
        <v>0</v>
      </c>
      <c r="U17" s="2644">
        <f>SUM(U18:U22)</f>
        <v>0</v>
      </c>
      <c r="V17" s="2638">
        <f>SUM(V18:V22,V23)</f>
        <v>6701000</v>
      </c>
      <c r="W17" s="2642">
        <f>SUM(W18:W22,W23)</f>
        <v>6521000</v>
      </c>
      <c r="X17" s="2643">
        <f>SUM(X18:X22,X23)</f>
        <v>0</v>
      </c>
      <c r="Y17" s="2644">
        <f>SUM(Y18:Y22)</f>
        <v>0</v>
      </c>
      <c r="Z17" s="2638">
        <f>SUM(Z18:Z22,Z23)</f>
        <v>6521000</v>
      </c>
      <c r="AA17" s="2639">
        <f t="shared" si="7"/>
        <v>97.313833756155802</v>
      </c>
      <c r="AB17" s="1351">
        <f>'[1]PRIH REBALANS'!$AK$52</f>
        <v>6521000</v>
      </c>
      <c r="AC17" s="1002"/>
      <c r="AD17" s="1349">
        <f t="shared" si="2"/>
        <v>0</v>
      </c>
      <c r="AE17" s="209" t="e">
        <f>S17-#REF!</f>
        <v>#REF!</v>
      </c>
    </row>
    <row r="18" spans="1:33" ht="34.15" customHeight="1">
      <c r="A18" s="2645"/>
      <c r="B18" s="2646">
        <v>714111</v>
      </c>
      <c r="C18" s="2647" t="s">
        <v>69</v>
      </c>
      <c r="D18" s="2659">
        <v>303049</v>
      </c>
      <c r="E18" s="2649"/>
      <c r="F18" s="2649"/>
      <c r="G18" s="2650"/>
      <c r="H18" s="2651">
        <f t="shared" ref="H18:H23" si="15">D18+E18+G18</f>
        <v>303049</v>
      </c>
      <c r="I18" s="2660">
        <v>355075</v>
      </c>
      <c r="J18" s="2649"/>
      <c r="K18" s="2649"/>
      <c r="L18" s="2650"/>
      <c r="M18" s="2651">
        <f t="shared" ref="M18:M23" si="16">I18+J18+L18</f>
        <v>355075</v>
      </c>
      <c r="N18" s="2661">
        <v>402700.2</v>
      </c>
      <c r="O18" s="2649"/>
      <c r="P18" s="2649"/>
      <c r="Q18" s="2650"/>
      <c r="R18" s="2653">
        <f t="shared" ref="R18:R23" si="17">N18+O18+Q18</f>
        <v>402700.2</v>
      </c>
      <c r="S18" s="2652">
        <v>540000</v>
      </c>
      <c r="T18" s="2649">
        <f t="shared" ref="T18:U18" si="18">O18/9*12</f>
        <v>0</v>
      </c>
      <c r="U18" s="2654">
        <f t="shared" si="18"/>
        <v>0</v>
      </c>
      <c r="V18" s="2655">
        <f t="shared" si="10"/>
        <v>540000</v>
      </c>
      <c r="W18" s="2656">
        <v>540000</v>
      </c>
      <c r="X18" s="2649"/>
      <c r="Y18" s="2654">
        <f t="shared" ref="Y18" si="19">T18/9*12</f>
        <v>0</v>
      </c>
      <c r="Z18" s="2655">
        <f t="shared" ref="Z18:Z23" si="20">W18+X18</f>
        <v>540000</v>
      </c>
      <c r="AA18" s="2639">
        <f t="shared" si="7"/>
        <v>100</v>
      </c>
      <c r="AB18" s="1351"/>
      <c r="AC18" s="1351"/>
      <c r="AD18" s="1349">
        <f t="shared" si="2"/>
        <v>0</v>
      </c>
      <c r="AE18" s="209" t="e">
        <f>S18-#REF!</f>
        <v>#REF!</v>
      </c>
    </row>
    <row r="19" spans="1:33" ht="34.15" customHeight="1">
      <c r="A19" s="2645"/>
      <c r="B19" s="2646">
        <v>714112</v>
      </c>
      <c r="C19" s="2647" t="s">
        <v>70</v>
      </c>
      <c r="D19" s="2659">
        <v>13073.2</v>
      </c>
      <c r="E19" s="2649"/>
      <c r="F19" s="2649"/>
      <c r="G19" s="2650"/>
      <c r="H19" s="2651">
        <f t="shared" si="15"/>
        <v>13073.2</v>
      </c>
      <c r="I19" s="2660">
        <v>16233.2</v>
      </c>
      <c r="J19" s="2649"/>
      <c r="K19" s="2649"/>
      <c r="L19" s="2650"/>
      <c r="M19" s="2651">
        <f t="shared" si="16"/>
        <v>16233.2</v>
      </c>
      <c r="N19" s="2661">
        <v>18563.2</v>
      </c>
      <c r="O19" s="2649"/>
      <c r="P19" s="2649"/>
      <c r="Q19" s="2650"/>
      <c r="R19" s="2653">
        <f t="shared" si="17"/>
        <v>18563.2</v>
      </c>
      <c r="S19" s="2652">
        <v>25000</v>
      </c>
      <c r="T19" s="2649"/>
      <c r="U19" s="2654"/>
      <c r="V19" s="2655">
        <f t="shared" si="10"/>
        <v>25000</v>
      </c>
      <c r="W19" s="2656">
        <v>25000</v>
      </c>
      <c r="X19" s="2649"/>
      <c r="Y19" s="2654"/>
      <c r="Z19" s="2655">
        <f t="shared" si="20"/>
        <v>25000</v>
      </c>
      <c r="AA19" s="2639">
        <f t="shared" si="7"/>
        <v>100</v>
      </c>
      <c r="AB19" s="1351"/>
      <c r="AC19" s="1351"/>
      <c r="AD19" s="1349">
        <f t="shared" si="2"/>
        <v>0</v>
      </c>
      <c r="AE19" s="209" t="e">
        <f>S19-#REF!</f>
        <v>#REF!</v>
      </c>
    </row>
    <row r="20" spans="1:33" ht="34.15" customHeight="1">
      <c r="A20" s="2645"/>
      <c r="B20" s="2646">
        <v>714113</v>
      </c>
      <c r="C20" s="2647" t="s">
        <v>71</v>
      </c>
      <c r="D20" s="2659">
        <v>536206</v>
      </c>
      <c r="E20" s="2649"/>
      <c r="F20" s="2649"/>
      <c r="G20" s="2650"/>
      <c r="H20" s="2651">
        <f t="shared" si="15"/>
        <v>536206</v>
      </c>
      <c r="I20" s="2660">
        <v>600751</v>
      </c>
      <c r="J20" s="2649"/>
      <c r="K20" s="2649"/>
      <c r="L20" s="2650"/>
      <c r="M20" s="2651">
        <f t="shared" si="16"/>
        <v>600751</v>
      </c>
      <c r="N20" s="2661">
        <v>668756</v>
      </c>
      <c r="O20" s="2649"/>
      <c r="P20" s="2649"/>
      <c r="Q20" s="2650"/>
      <c r="R20" s="2653">
        <f t="shared" si="17"/>
        <v>668756</v>
      </c>
      <c r="S20" s="2652">
        <v>900000</v>
      </c>
      <c r="T20" s="2649"/>
      <c r="U20" s="2654"/>
      <c r="V20" s="2655">
        <f t="shared" si="10"/>
        <v>900000</v>
      </c>
      <c r="W20" s="2656">
        <v>920000</v>
      </c>
      <c r="X20" s="2649"/>
      <c r="Y20" s="2654"/>
      <c r="Z20" s="2655">
        <f t="shared" si="20"/>
        <v>920000</v>
      </c>
      <c r="AA20" s="2639">
        <f t="shared" si="7"/>
        <v>102.22222222222221</v>
      </c>
      <c r="AB20" s="1351"/>
      <c r="AC20" s="1351"/>
      <c r="AD20" s="1349">
        <f t="shared" si="2"/>
        <v>0</v>
      </c>
      <c r="AE20" s="209" t="e">
        <f>S20-#REF!</f>
        <v>#REF!</v>
      </c>
    </row>
    <row r="21" spans="1:33" ht="34.15" customHeight="1">
      <c r="A21" s="2645"/>
      <c r="B21" s="2646">
        <v>714120</v>
      </c>
      <c r="C21" s="2647" t="s">
        <v>72</v>
      </c>
      <c r="D21" s="2659">
        <v>16930.580000000002</v>
      </c>
      <c r="E21" s="2649"/>
      <c r="F21" s="2649"/>
      <c r="G21" s="2650"/>
      <c r="H21" s="2651">
        <f t="shared" si="15"/>
        <v>16930.580000000002</v>
      </c>
      <c r="I21" s="2660">
        <v>21076.51</v>
      </c>
      <c r="J21" s="2649"/>
      <c r="K21" s="2649"/>
      <c r="L21" s="2650"/>
      <c r="M21" s="2651">
        <f t="shared" si="16"/>
        <v>21076.51</v>
      </c>
      <c r="N21" s="2661">
        <v>25155.79</v>
      </c>
      <c r="O21" s="2649"/>
      <c r="P21" s="2649"/>
      <c r="Q21" s="2650"/>
      <c r="R21" s="2653">
        <f t="shared" si="17"/>
        <v>25155.79</v>
      </c>
      <c r="S21" s="2652">
        <v>35000</v>
      </c>
      <c r="T21" s="2649"/>
      <c r="U21" s="2654"/>
      <c r="V21" s="2655">
        <f t="shared" si="10"/>
        <v>35000</v>
      </c>
      <c r="W21" s="2656">
        <v>35000</v>
      </c>
      <c r="X21" s="2649"/>
      <c r="Y21" s="2654"/>
      <c r="Z21" s="2655">
        <f t="shared" si="20"/>
        <v>35000</v>
      </c>
      <c r="AA21" s="2639">
        <f t="shared" si="7"/>
        <v>100</v>
      </c>
      <c r="AB21" s="1351"/>
      <c r="AC21" s="1351"/>
      <c r="AD21" s="1349">
        <f t="shared" si="2"/>
        <v>0</v>
      </c>
      <c r="AE21" s="209" t="e">
        <f>S21-#REF!</f>
        <v>#REF!</v>
      </c>
    </row>
    <row r="22" spans="1:33" ht="34.15" customHeight="1">
      <c r="A22" s="2645"/>
      <c r="B22" s="2646">
        <v>714130</v>
      </c>
      <c r="C22" s="2647" t="s">
        <v>73</v>
      </c>
      <c r="D22" s="2659">
        <v>3104562.74</v>
      </c>
      <c r="E22" s="2649"/>
      <c r="F22" s="2649"/>
      <c r="G22" s="2650"/>
      <c r="H22" s="2651">
        <f t="shared" si="15"/>
        <v>3104562.74</v>
      </c>
      <c r="I22" s="2660">
        <v>3443822.69</v>
      </c>
      <c r="J22" s="2649"/>
      <c r="K22" s="2649"/>
      <c r="L22" s="2650"/>
      <c r="M22" s="2651">
        <f t="shared" si="16"/>
        <v>3443822.69</v>
      </c>
      <c r="N22" s="2661">
        <v>3909902.68</v>
      </c>
      <c r="O22" s="2649"/>
      <c r="P22" s="2649"/>
      <c r="Q22" s="2650"/>
      <c r="R22" s="2653">
        <f t="shared" si="17"/>
        <v>3909902.68</v>
      </c>
      <c r="S22" s="2652">
        <v>5200000</v>
      </c>
      <c r="T22" s="2649"/>
      <c r="U22" s="2654"/>
      <c r="V22" s="2655">
        <f t="shared" si="10"/>
        <v>5200000</v>
      </c>
      <c r="W22" s="2656">
        <v>5000000</v>
      </c>
      <c r="X22" s="2649"/>
      <c r="Y22" s="2654"/>
      <c r="Z22" s="2655">
        <f t="shared" si="20"/>
        <v>5000000</v>
      </c>
      <c r="AA22" s="2639">
        <f t="shared" si="7"/>
        <v>96.15384615384616</v>
      </c>
      <c r="AB22" s="1351"/>
      <c r="AC22" s="1351"/>
      <c r="AD22" s="1349">
        <f t="shared" si="2"/>
        <v>0</v>
      </c>
      <c r="AE22" s="209" t="e">
        <f>S22-#REF!</f>
        <v>#REF!</v>
      </c>
    </row>
    <row r="23" spans="1:33" ht="34.15" customHeight="1">
      <c r="A23" s="2645"/>
      <c r="B23" s="2646">
        <v>714140</v>
      </c>
      <c r="C23" s="2647" t="s">
        <v>68</v>
      </c>
      <c r="D23" s="2659"/>
      <c r="E23" s="2649"/>
      <c r="F23" s="2649"/>
      <c r="G23" s="2650"/>
      <c r="H23" s="2651">
        <f t="shared" si="15"/>
        <v>0</v>
      </c>
      <c r="I23" s="2660"/>
      <c r="J23" s="2649"/>
      <c r="K23" s="2649"/>
      <c r="L23" s="2650"/>
      <c r="M23" s="2651">
        <f t="shared" si="16"/>
        <v>0</v>
      </c>
      <c r="N23" s="2660"/>
      <c r="O23" s="2649"/>
      <c r="P23" s="2649"/>
      <c r="Q23" s="2650"/>
      <c r="R23" s="2653">
        <f t="shared" si="17"/>
        <v>0</v>
      </c>
      <c r="S23" s="2652">
        <v>1000</v>
      </c>
      <c r="T23" s="2649"/>
      <c r="U23" s="2654"/>
      <c r="V23" s="2655">
        <f t="shared" si="10"/>
        <v>1000</v>
      </c>
      <c r="W23" s="2656">
        <v>1000</v>
      </c>
      <c r="X23" s="2649"/>
      <c r="Y23" s="2654"/>
      <c r="Z23" s="2655">
        <f t="shared" si="20"/>
        <v>1000</v>
      </c>
      <c r="AA23" s="2639">
        <f t="shared" si="7"/>
        <v>100</v>
      </c>
      <c r="AB23" s="1351"/>
      <c r="AC23" s="1351"/>
      <c r="AD23" s="1349">
        <f t="shared" si="2"/>
        <v>0</v>
      </c>
      <c r="AE23" s="209" t="e">
        <f>S23-#REF!</f>
        <v>#REF!</v>
      </c>
    </row>
    <row r="24" spans="1:33" ht="34.15" customHeight="1">
      <c r="A24" s="2640">
        <v>111</v>
      </c>
      <c r="B24" s="2646" t="s">
        <v>74</v>
      </c>
      <c r="C24" s="2631" t="s">
        <v>75</v>
      </c>
      <c r="D24" s="2662">
        <v>509.15</v>
      </c>
      <c r="E24" s="2643"/>
      <c r="F24" s="2643"/>
      <c r="G24" s="2635"/>
      <c r="H24" s="2636">
        <f>D24+E24+G24</f>
        <v>509.15</v>
      </c>
      <c r="I24" s="2663">
        <v>509.15</v>
      </c>
      <c r="J24" s="2643"/>
      <c r="K24" s="2643"/>
      <c r="L24" s="2635"/>
      <c r="M24" s="2636">
        <f>I24+J24+L24</f>
        <v>509.15</v>
      </c>
      <c r="N24" s="2664">
        <v>509.15</v>
      </c>
      <c r="O24" s="2643"/>
      <c r="P24" s="2643"/>
      <c r="Q24" s="2635"/>
      <c r="R24" s="2637">
        <f>N24+O24+Q24</f>
        <v>509.15</v>
      </c>
      <c r="S24" s="2642">
        <v>1000</v>
      </c>
      <c r="T24" s="2643"/>
      <c r="U24" s="2644"/>
      <c r="V24" s="2638">
        <f>S24+T24</f>
        <v>1000</v>
      </c>
      <c r="W24" s="2642">
        <v>1000</v>
      </c>
      <c r="X24" s="2643"/>
      <c r="Y24" s="2644"/>
      <c r="Z24" s="2638">
        <f>W24+X24</f>
        <v>1000</v>
      </c>
      <c r="AA24" s="2639">
        <f t="shared" si="7"/>
        <v>100</v>
      </c>
      <c r="AB24" s="1351">
        <f>'[1]PRIH REBALANS'!$AK$59</f>
        <v>1000</v>
      </c>
      <c r="AC24" s="1002"/>
      <c r="AD24" s="1349">
        <f t="shared" si="2"/>
        <v>0</v>
      </c>
      <c r="AE24" s="209" t="e">
        <f>S24-#REF!</f>
        <v>#REF!</v>
      </c>
    </row>
    <row r="25" spans="1:33" ht="34.15" customHeight="1">
      <c r="A25" s="2640">
        <v>111</v>
      </c>
      <c r="B25" s="2646">
        <v>716000</v>
      </c>
      <c r="C25" s="2631" t="s">
        <v>1359</v>
      </c>
      <c r="D25" s="2665">
        <v>6737279.8700000001</v>
      </c>
      <c r="E25" s="2643"/>
      <c r="F25" s="2643"/>
      <c r="G25" s="2635"/>
      <c r="H25" s="2636">
        <f>D25+E25+G25</f>
        <v>6737279.8700000001</v>
      </c>
      <c r="I25" s="2665">
        <v>7681971.6299999999</v>
      </c>
      <c r="J25" s="2643"/>
      <c r="K25" s="2643"/>
      <c r="L25" s="2635"/>
      <c r="M25" s="2636">
        <f>I25+J25+L25</f>
        <v>7681971.6299999999</v>
      </c>
      <c r="N25" s="2666">
        <v>8656114.4499999993</v>
      </c>
      <c r="O25" s="2643"/>
      <c r="P25" s="2643"/>
      <c r="Q25" s="2635"/>
      <c r="R25" s="2637">
        <f>N25+O25+Q25</f>
        <v>8656114.4499999993</v>
      </c>
      <c r="S25" s="2642">
        <v>11640000</v>
      </c>
      <c r="T25" s="2643"/>
      <c r="U25" s="2644"/>
      <c r="V25" s="2638">
        <f t="shared" ref="V25:V35" si="21">SUM(S25:U25)</f>
        <v>11640000</v>
      </c>
      <c r="W25" s="2642">
        <v>11550000</v>
      </c>
      <c r="X25" s="2643"/>
      <c r="Y25" s="2644"/>
      <c r="Z25" s="2638">
        <f t="shared" ref="Z25" si="22">SUM(W25:Y25)</f>
        <v>11550000</v>
      </c>
      <c r="AA25" s="2639">
        <f t="shared" si="7"/>
        <v>99.226804123711347</v>
      </c>
      <c r="AB25" s="1351">
        <f>'[1]PRIH REBALANS'!$AK$60</f>
        <v>11550000</v>
      </c>
      <c r="AC25" s="1002"/>
      <c r="AD25" s="1349">
        <f t="shared" si="2"/>
        <v>0</v>
      </c>
      <c r="AE25" s="209" t="e">
        <f>S25-#REF!</f>
        <v>#REF!</v>
      </c>
    </row>
    <row r="26" spans="1:33" ht="34.15" customHeight="1">
      <c r="A26" s="2645"/>
      <c r="B26" s="2646">
        <v>717000</v>
      </c>
      <c r="C26" s="2631" t="s">
        <v>1360</v>
      </c>
      <c r="D26" s="2641">
        <f t="shared" ref="D26:V26" si="23">SUM(D27:D30)</f>
        <v>7378418.9299999997</v>
      </c>
      <c r="E26" s="2643">
        <f t="shared" si="23"/>
        <v>1013527.3400000001</v>
      </c>
      <c r="F26" s="2643">
        <f t="shared" si="23"/>
        <v>836586.52</v>
      </c>
      <c r="G26" s="2644">
        <f t="shared" si="23"/>
        <v>0</v>
      </c>
      <c r="H26" s="2636">
        <f t="shared" si="23"/>
        <v>9228532.7899999991</v>
      </c>
      <c r="I26" s="2642">
        <f t="shared" si="23"/>
        <v>8651499.4000000004</v>
      </c>
      <c r="J26" s="2643">
        <f t="shared" si="23"/>
        <v>1187681.94</v>
      </c>
      <c r="K26" s="2643">
        <f t="shared" si="23"/>
        <v>836586.52</v>
      </c>
      <c r="L26" s="2644">
        <f t="shared" si="23"/>
        <v>0</v>
      </c>
      <c r="M26" s="2636">
        <f t="shared" si="23"/>
        <v>10675767.859999999</v>
      </c>
      <c r="N26" s="2642">
        <f t="shared" si="23"/>
        <v>9867340.1600000001</v>
      </c>
      <c r="O26" s="2643">
        <f t="shared" si="23"/>
        <v>1364633.03</v>
      </c>
      <c r="P26" s="2643">
        <f t="shared" si="23"/>
        <v>836586.52</v>
      </c>
      <c r="Q26" s="2644">
        <f t="shared" si="23"/>
        <v>0</v>
      </c>
      <c r="R26" s="2637">
        <f t="shared" si="23"/>
        <v>12068559.709999999</v>
      </c>
      <c r="S26" s="2642">
        <f t="shared" si="23"/>
        <v>13246000</v>
      </c>
      <c r="T26" s="2643">
        <f t="shared" si="23"/>
        <v>2656586</v>
      </c>
      <c r="U26" s="2644">
        <f t="shared" si="23"/>
        <v>0</v>
      </c>
      <c r="V26" s="2638">
        <f t="shared" si="23"/>
        <v>15902586</v>
      </c>
      <c r="W26" s="2642">
        <f t="shared" ref="W26:Z26" si="24">SUM(W27:W30)</f>
        <v>13700000</v>
      </c>
      <c r="X26" s="2643">
        <f t="shared" si="24"/>
        <v>1640000</v>
      </c>
      <c r="Y26" s="2644">
        <f t="shared" si="24"/>
        <v>0</v>
      </c>
      <c r="Z26" s="2638">
        <f t="shared" si="24"/>
        <v>15340000</v>
      </c>
      <c r="AA26" s="2639">
        <f t="shared" si="7"/>
        <v>96.462298647528144</v>
      </c>
      <c r="AB26" s="1351">
        <f>'[1]PRIH REBALANS'!$AK$61</f>
        <v>15340000</v>
      </c>
      <c r="AC26" s="1002"/>
      <c r="AD26" s="1349">
        <f t="shared" si="2"/>
        <v>0</v>
      </c>
      <c r="AE26" s="209" t="e">
        <f>S26-#REF!</f>
        <v>#REF!</v>
      </c>
    </row>
    <row r="27" spans="1:33" ht="34.15" customHeight="1">
      <c r="A27" s="2645">
        <v>111</v>
      </c>
      <c r="B27" s="2646">
        <v>717141</v>
      </c>
      <c r="C27" s="2647" t="s">
        <v>1361</v>
      </c>
      <c r="D27" s="2648">
        <v>7378418.9299999997</v>
      </c>
      <c r="E27" s="2649"/>
      <c r="F27" s="2649"/>
      <c r="G27" s="2650"/>
      <c r="H27" s="2651">
        <f>D27+E27+G27+F27</f>
        <v>7378418.9299999997</v>
      </c>
      <c r="I27" s="2652">
        <v>8651499.4000000004</v>
      </c>
      <c r="J27" s="2649"/>
      <c r="K27" s="2649"/>
      <c r="L27" s="2650"/>
      <c r="M27" s="2651">
        <f>I27+J27+L27+K27</f>
        <v>8651499.4000000004</v>
      </c>
      <c r="N27" s="2652">
        <v>9867340.1600000001</v>
      </c>
      <c r="O27" s="2649"/>
      <c r="P27" s="2649"/>
      <c r="Q27" s="2650"/>
      <c r="R27" s="2653">
        <f>N27+O27+Q27+P27</f>
        <v>9867340.1600000001</v>
      </c>
      <c r="S27" s="2652">
        <v>13246000</v>
      </c>
      <c r="T27" s="2649"/>
      <c r="U27" s="2654"/>
      <c r="V27" s="2655">
        <f t="shared" si="21"/>
        <v>13246000</v>
      </c>
      <c r="W27" s="2656">
        <v>13700000</v>
      </c>
      <c r="X27" s="1575"/>
      <c r="Y27" s="2654"/>
      <c r="Z27" s="2655">
        <f t="shared" ref="Z27:Z28" si="25">SUM(W27:Y27)</f>
        <v>13700000</v>
      </c>
      <c r="AA27" s="2639">
        <f t="shared" si="7"/>
        <v>103.42744979616486</v>
      </c>
      <c r="AB27" s="1351"/>
      <c r="AC27" s="1351"/>
      <c r="AD27" s="1349">
        <f t="shared" si="2"/>
        <v>0</v>
      </c>
      <c r="AE27" s="209" t="e">
        <f>S27-#REF!</f>
        <v>#REF!</v>
      </c>
      <c r="AF27" s="209">
        <f>'[3]PRIH REBALANS'!$AG$76</f>
        <v>13246000</v>
      </c>
    </row>
    <row r="28" spans="1:33" ht="34.15" customHeight="1">
      <c r="A28" s="2629">
        <v>225</v>
      </c>
      <c r="B28" s="2646">
        <v>717131</v>
      </c>
      <c r="C28" s="2647" t="s">
        <v>1362</v>
      </c>
      <c r="D28" s="2648"/>
      <c r="E28" s="2649">
        <v>746868.56</v>
      </c>
      <c r="F28" s="2649">
        <v>836586.52</v>
      </c>
      <c r="G28" s="2650"/>
      <c r="H28" s="2651">
        <f t="shared" ref="H28:H35" si="26">D28+E28+G28+F28</f>
        <v>1583455.08</v>
      </c>
      <c r="I28" s="2652"/>
      <c r="J28" s="2649">
        <v>875391.07</v>
      </c>
      <c r="K28" s="2649">
        <v>836586.52</v>
      </c>
      <c r="L28" s="2650"/>
      <c r="M28" s="2651">
        <f t="shared" ref="M28:M35" si="27">I28+J28+L28+K28</f>
        <v>1711977.5899999999</v>
      </c>
      <c r="N28" s="2652"/>
      <c r="O28" s="2649">
        <v>999725.08</v>
      </c>
      <c r="P28" s="2649">
        <v>836586.52</v>
      </c>
      <c r="Q28" s="2650"/>
      <c r="R28" s="2653">
        <f t="shared" ref="R28:R35" si="28">N28+O28+Q28+P28</f>
        <v>1836311.6</v>
      </c>
      <c r="S28" s="2652"/>
      <c r="T28" s="2649">
        <v>1330000</v>
      </c>
      <c r="U28" s="2654"/>
      <c r="V28" s="2655">
        <f t="shared" si="21"/>
        <v>1330000</v>
      </c>
      <c r="W28" s="2656"/>
      <c r="X28" s="1575">
        <v>1200000</v>
      </c>
      <c r="Y28" s="2654"/>
      <c r="Z28" s="2655">
        <f t="shared" si="25"/>
        <v>1200000</v>
      </c>
      <c r="AA28" s="2639">
        <f t="shared" si="7"/>
        <v>90.225563909774436</v>
      </c>
      <c r="AB28" s="1351"/>
      <c r="AC28" s="1351"/>
      <c r="AD28" s="1349">
        <f t="shared" si="2"/>
        <v>0</v>
      </c>
      <c r="AE28" s="209" t="e">
        <f>S28-#REF!</f>
        <v>#REF!</v>
      </c>
      <c r="AG28" s="209">
        <f>T28+T30+T103+T104</f>
        <v>2700000</v>
      </c>
    </row>
    <row r="29" spans="1:33" ht="34.15" customHeight="1">
      <c r="A29" s="2629"/>
      <c r="B29" s="2646">
        <v>717132</v>
      </c>
      <c r="C29" s="2647" t="s">
        <v>1363</v>
      </c>
      <c r="D29" s="2648"/>
      <c r="E29" s="2667"/>
      <c r="F29" s="2649"/>
      <c r="G29" s="2650"/>
      <c r="H29" s="2651">
        <f t="shared" si="26"/>
        <v>0</v>
      </c>
      <c r="I29" s="2652"/>
      <c r="J29" s="2667"/>
      <c r="K29" s="2649"/>
      <c r="L29" s="2650"/>
      <c r="M29" s="2651">
        <f t="shared" si="27"/>
        <v>0</v>
      </c>
      <c r="N29" s="2652"/>
      <c r="O29" s="2667"/>
      <c r="P29" s="2649"/>
      <c r="Q29" s="2650"/>
      <c r="R29" s="2653">
        <f t="shared" si="28"/>
        <v>0</v>
      </c>
      <c r="S29" s="2652"/>
      <c r="T29" s="2649">
        <v>836586</v>
      </c>
      <c r="U29" s="2654"/>
      <c r="V29" s="2655">
        <f>SUM(S29:U29)</f>
        <v>836586</v>
      </c>
      <c r="W29" s="2656"/>
      <c r="X29" s="1575">
        <f t="shared" ref="X29" si="29">S29/9*12</f>
        <v>0</v>
      </c>
      <c r="Y29" s="2654"/>
      <c r="Z29" s="2655">
        <f>SUM(W29:Y29)</f>
        <v>0</v>
      </c>
      <c r="AA29" s="2639">
        <f t="shared" si="7"/>
        <v>0</v>
      </c>
      <c r="AB29" s="1351"/>
      <c r="AC29" s="1351"/>
      <c r="AD29" s="1349">
        <f t="shared" si="2"/>
        <v>0</v>
      </c>
      <c r="AE29" s="209" t="e">
        <f>S29-#REF!</f>
        <v>#REF!</v>
      </c>
    </row>
    <row r="30" spans="1:33" ht="34.15" customHeight="1">
      <c r="A30" s="2629">
        <v>225</v>
      </c>
      <c r="B30" s="2646" t="s">
        <v>77</v>
      </c>
      <c r="C30" s="2647" t="s">
        <v>1364</v>
      </c>
      <c r="D30" s="2648"/>
      <c r="E30" s="2649">
        <v>266658.78000000003</v>
      </c>
      <c r="F30" s="2649"/>
      <c r="G30" s="2650"/>
      <c r="H30" s="2651">
        <f t="shared" si="26"/>
        <v>266658.78000000003</v>
      </c>
      <c r="I30" s="2652"/>
      <c r="J30" s="2649">
        <v>312290.87</v>
      </c>
      <c r="K30" s="2649"/>
      <c r="L30" s="2650"/>
      <c r="M30" s="2651">
        <f t="shared" si="27"/>
        <v>312290.87</v>
      </c>
      <c r="N30" s="2652"/>
      <c r="O30" s="2649">
        <v>364907.95</v>
      </c>
      <c r="P30" s="2649"/>
      <c r="Q30" s="2650"/>
      <c r="R30" s="2653">
        <f t="shared" si="28"/>
        <v>364907.95</v>
      </c>
      <c r="S30" s="2652"/>
      <c r="T30" s="2649">
        <v>490000</v>
      </c>
      <c r="U30" s="2654"/>
      <c r="V30" s="2655">
        <f t="shared" si="21"/>
        <v>490000</v>
      </c>
      <c r="W30" s="2656"/>
      <c r="X30" s="1575">
        <v>440000</v>
      </c>
      <c r="Y30" s="2654"/>
      <c r="Z30" s="2655">
        <f t="shared" ref="Z30" si="30">SUM(W30:Y30)</f>
        <v>440000</v>
      </c>
      <c r="AA30" s="2639">
        <f t="shared" si="7"/>
        <v>89.795918367346943</v>
      </c>
      <c r="AB30" s="1351"/>
      <c r="AC30" s="1351"/>
      <c r="AD30" s="1349">
        <f t="shared" si="2"/>
        <v>0</v>
      </c>
      <c r="AE30" s="209" t="e">
        <f>S30-#REF!</f>
        <v>#REF!</v>
      </c>
    </row>
    <row r="31" spans="1:33" ht="34.15" customHeight="1">
      <c r="A31" s="2629"/>
      <c r="B31" s="2630">
        <v>719000</v>
      </c>
      <c r="C31" s="2631" t="s">
        <v>1365</v>
      </c>
      <c r="D31" s="2641">
        <f t="shared" ref="D31:V31" si="31">SUM(D32:D35)</f>
        <v>134.03</v>
      </c>
      <c r="E31" s="2643">
        <f t="shared" si="31"/>
        <v>456.05</v>
      </c>
      <c r="F31" s="2643">
        <f t="shared" si="31"/>
        <v>0</v>
      </c>
      <c r="G31" s="2635">
        <f t="shared" si="31"/>
        <v>0</v>
      </c>
      <c r="H31" s="2636">
        <f t="shared" si="31"/>
        <v>590.08000000000004</v>
      </c>
      <c r="I31" s="2642">
        <f t="shared" si="31"/>
        <v>182.73000000000002</v>
      </c>
      <c r="J31" s="2643">
        <f t="shared" si="31"/>
        <v>469.72</v>
      </c>
      <c r="K31" s="2643">
        <f t="shared" si="31"/>
        <v>0</v>
      </c>
      <c r="L31" s="2635">
        <f t="shared" si="31"/>
        <v>0</v>
      </c>
      <c r="M31" s="2636">
        <f t="shared" si="31"/>
        <v>652.45000000000005</v>
      </c>
      <c r="N31" s="2642">
        <f t="shared" si="31"/>
        <v>231.43</v>
      </c>
      <c r="O31" s="2643">
        <f t="shared" si="31"/>
        <v>495.96</v>
      </c>
      <c r="P31" s="2643">
        <f t="shared" si="31"/>
        <v>0</v>
      </c>
      <c r="Q31" s="2635">
        <f t="shared" si="31"/>
        <v>0</v>
      </c>
      <c r="R31" s="2637">
        <f t="shared" si="31"/>
        <v>727.39</v>
      </c>
      <c r="S31" s="2642">
        <f t="shared" si="31"/>
        <v>350</v>
      </c>
      <c r="T31" s="2643">
        <f t="shared" si="31"/>
        <v>650</v>
      </c>
      <c r="U31" s="2644">
        <f t="shared" si="31"/>
        <v>0</v>
      </c>
      <c r="V31" s="2638">
        <f t="shared" si="31"/>
        <v>1000</v>
      </c>
      <c r="W31" s="2642">
        <f t="shared" ref="W31:Z31" si="32">SUM(W32:W35)</f>
        <v>400</v>
      </c>
      <c r="X31" s="2643">
        <f t="shared" si="32"/>
        <v>800</v>
      </c>
      <c r="Y31" s="2644">
        <f t="shared" si="32"/>
        <v>0</v>
      </c>
      <c r="Z31" s="2638">
        <f t="shared" si="32"/>
        <v>1200</v>
      </c>
      <c r="AA31" s="2639">
        <f t="shared" si="7"/>
        <v>120</v>
      </c>
      <c r="AB31" s="1351">
        <f>'[1]PRIH REBALANS'!$AK$66</f>
        <v>1200</v>
      </c>
      <c r="AC31" s="1002"/>
      <c r="AD31" s="1349">
        <f t="shared" si="2"/>
        <v>0</v>
      </c>
      <c r="AE31" s="209" t="e">
        <f>S31-#REF!</f>
        <v>#REF!</v>
      </c>
    </row>
    <row r="32" spans="1:33" ht="34.15" customHeight="1">
      <c r="A32" s="2668">
        <v>226</v>
      </c>
      <c r="B32" s="2669">
        <v>719114</v>
      </c>
      <c r="C32" s="2670" t="s">
        <v>79</v>
      </c>
      <c r="D32" s="2671"/>
      <c r="E32" s="2672">
        <v>359.8</v>
      </c>
      <c r="F32" s="2672"/>
      <c r="G32" s="2673"/>
      <c r="H32" s="2651">
        <f t="shared" si="26"/>
        <v>359.8</v>
      </c>
      <c r="I32" s="2674"/>
      <c r="J32" s="2672">
        <v>373.47</v>
      </c>
      <c r="K32" s="2672"/>
      <c r="L32" s="2673"/>
      <c r="M32" s="2651">
        <f t="shared" si="27"/>
        <v>373.47</v>
      </c>
      <c r="N32" s="2674"/>
      <c r="O32" s="2672">
        <v>399.71</v>
      </c>
      <c r="P32" s="2672"/>
      <c r="Q32" s="2673"/>
      <c r="R32" s="2653">
        <f t="shared" si="28"/>
        <v>399.71</v>
      </c>
      <c r="S32" s="2674"/>
      <c r="T32" s="2672">
        <v>500</v>
      </c>
      <c r="U32" s="2675"/>
      <c r="V32" s="2655">
        <f t="shared" si="21"/>
        <v>500</v>
      </c>
      <c r="W32" s="2676"/>
      <c r="X32" s="1575">
        <v>650</v>
      </c>
      <c r="Y32" s="2675"/>
      <c r="Z32" s="2655">
        <f t="shared" ref="Z32:Z35" si="33">SUM(W32:Y32)</f>
        <v>650</v>
      </c>
      <c r="AA32" s="2639">
        <f t="shared" si="7"/>
        <v>130</v>
      </c>
      <c r="AB32" s="1351"/>
      <c r="AC32" s="1351"/>
      <c r="AD32" s="1349">
        <f t="shared" si="2"/>
        <v>0</v>
      </c>
      <c r="AE32" s="209" t="e">
        <f>S32-#REF!</f>
        <v>#REF!</v>
      </c>
    </row>
    <row r="33" spans="1:31" ht="34.15" customHeight="1">
      <c r="A33" s="2668">
        <v>226</v>
      </c>
      <c r="B33" s="2669">
        <v>719115</v>
      </c>
      <c r="C33" s="2670" t="s">
        <v>80</v>
      </c>
      <c r="D33" s="2671"/>
      <c r="E33" s="2672">
        <v>96.25</v>
      </c>
      <c r="F33" s="2672"/>
      <c r="G33" s="2673"/>
      <c r="H33" s="2651">
        <f t="shared" si="26"/>
        <v>96.25</v>
      </c>
      <c r="I33" s="2674"/>
      <c r="J33" s="2672">
        <v>96.25</v>
      </c>
      <c r="K33" s="2672"/>
      <c r="L33" s="2673"/>
      <c r="M33" s="2651">
        <f t="shared" si="27"/>
        <v>96.25</v>
      </c>
      <c r="N33" s="2674"/>
      <c r="O33" s="2672">
        <v>96.25</v>
      </c>
      <c r="P33" s="2672"/>
      <c r="Q33" s="2673"/>
      <c r="R33" s="2653">
        <f t="shared" si="28"/>
        <v>96.25</v>
      </c>
      <c r="S33" s="2674"/>
      <c r="T33" s="2672">
        <v>150</v>
      </c>
      <c r="U33" s="2675"/>
      <c r="V33" s="2655">
        <f t="shared" si="21"/>
        <v>150</v>
      </c>
      <c r="W33" s="2676"/>
      <c r="X33" s="1575">
        <v>150</v>
      </c>
      <c r="Y33" s="2675"/>
      <c r="Z33" s="2655">
        <f t="shared" si="33"/>
        <v>150</v>
      </c>
      <c r="AA33" s="2639">
        <f t="shared" si="7"/>
        <v>100</v>
      </c>
      <c r="AB33" s="1351"/>
      <c r="AC33" s="1351"/>
      <c r="AD33" s="1349">
        <f t="shared" si="2"/>
        <v>0</v>
      </c>
      <c r="AE33" s="209" t="e">
        <f>S33-#REF!</f>
        <v>#REF!</v>
      </c>
    </row>
    <row r="34" spans="1:31" ht="34.15" customHeight="1">
      <c r="A34" s="2629">
        <v>111</v>
      </c>
      <c r="B34" s="2646">
        <v>719116</v>
      </c>
      <c r="C34" s="2647" t="s">
        <v>81</v>
      </c>
      <c r="D34" s="2648">
        <v>0.75</v>
      </c>
      <c r="E34" s="2649"/>
      <c r="F34" s="2649"/>
      <c r="G34" s="2650"/>
      <c r="H34" s="2651">
        <f t="shared" si="26"/>
        <v>0.75</v>
      </c>
      <c r="I34" s="2652">
        <v>49.45</v>
      </c>
      <c r="J34" s="2649"/>
      <c r="K34" s="2649"/>
      <c r="L34" s="2650"/>
      <c r="M34" s="2651">
        <f t="shared" si="27"/>
        <v>49.45</v>
      </c>
      <c r="N34" s="2652">
        <v>98.15</v>
      </c>
      <c r="O34" s="2649"/>
      <c r="P34" s="2649"/>
      <c r="Q34" s="2650"/>
      <c r="R34" s="2653">
        <f t="shared" si="28"/>
        <v>98.15</v>
      </c>
      <c r="S34" s="2652">
        <v>150</v>
      </c>
      <c r="T34" s="2649"/>
      <c r="U34" s="2654"/>
      <c r="V34" s="2655">
        <f t="shared" si="21"/>
        <v>150</v>
      </c>
      <c r="W34" s="2656">
        <v>150</v>
      </c>
      <c r="X34" s="1575"/>
      <c r="Y34" s="2654"/>
      <c r="Z34" s="2655">
        <f t="shared" si="33"/>
        <v>150</v>
      </c>
      <c r="AA34" s="2639">
        <f t="shared" si="7"/>
        <v>100</v>
      </c>
      <c r="AB34" s="1351"/>
      <c r="AC34" s="1351"/>
      <c r="AD34" s="1349">
        <f t="shared" si="2"/>
        <v>0</v>
      </c>
      <c r="AE34" s="209" t="e">
        <f>S34-#REF!</f>
        <v>#REF!</v>
      </c>
    </row>
    <row r="35" spans="1:31" ht="34.15" customHeight="1">
      <c r="A35" s="2629">
        <v>111</v>
      </c>
      <c r="B35" s="2646">
        <v>719117</v>
      </c>
      <c r="C35" s="2647" t="s">
        <v>82</v>
      </c>
      <c r="D35" s="2648">
        <v>133.28</v>
      </c>
      <c r="E35" s="2649"/>
      <c r="F35" s="2649"/>
      <c r="G35" s="2650"/>
      <c r="H35" s="2651">
        <f t="shared" si="26"/>
        <v>133.28</v>
      </c>
      <c r="I35" s="2652">
        <v>133.28</v>
      </c>
      <c r="J35" s="2649"/>
      <c r="K35" s="2649"/>
      <c r="L35" s="2650"/>
      <c r="M35" s="2651">
        <f t="shared" si="27"/>
        <v>133.28</v>
      </c>
      <c r="N35" s="2652">
        <v>133.28</v>
      </c>
      <c r="O35" s="2649"/>
      <c r="P35" s="2649"/>
      <c r="Q35" s="2650"/>
      <c r="R35" s="2653">
        <f t="shared" si="28"/>
        <v>133.28</v>
      </c>
      <c r="S35" s="2652">
        <v>200</v>
      </c>
      <c r="T35" s="2649"/>
      <c r="U35" s="2654"/>
      <c r="V35" s="2655">
        <f t="shared" si="21"/>
        <v>200</v>
      </c>
      <c r="W35" s="2656">
        <v>250</v>
      </c>
      <c r="X35" s="1575"/>
      <c r="Y35" s="2654"/>
      <c r="Z35" s="2655">
        <f t="shared" si="33"/>
        <v>250</v>
      </c>
      <c r="AA35" s="2639">
        <f t="shared" si="7"/>
        <v>125</v>
      </c>
      <c r="AB35" s="1351"/>
      <c r="AC35" s="1351"/>
      <c r="AD35" s="1349">
        <f t="shared" si="2"/>
        <v>0</v>
      </c>
      <c r="AE35" s="209" t="e">
        <f>S35-#REF!</f>
        <v>#REF!</v>
      </c>
    </row>
    <row r="36" spans="1:31" ht="34.15" customHeight="1">
      <c r="A36" s="2615"/>
      <c r="B36" s="2619"/>
      <c r="C36" s="2620" t="s">
        <v>1366</v>
      </c>
      <c r="D36" s="2621">
        <f>SUM(D37,D40,D65:D77,D128,)</f>
        <v>14743557.110000001</v>
      </c>
      <c r="E36" s="2622" t="e">
        <f>SUM(E37,E40,E65:E77,E128,)</f>
        <v>#REF!</v>
      </c>
      <c r="F36" s="2622">
        <f>SUM(F37,F40,F65:F77,F128,)</f>
        <v>11760380.869999999</v>
      </c>
      <c r="G36" s="2623">
        <f>SUM(G37,G40,G65:G77,G128,)</f>
        <v>0</v>
      </c>
      <c r="H36" s="2624" t="e">
        <f>SUM(H37,H65:H77,H128,H40)</f>
        <v>#REF!</v>
      </c>
      <c r="I36" s="2625">
        <f>SUM(I37,I40,I65:I77,I128,)</f>
        <v>15481434.33</v>
      </c>
      <c r="J36" s="2622" t="e">
        <f>SUM(J37,J40,J65:J77,J128,)</f>
        <v>#REF!</v>
      </c>
      <c r="K36" s="2622">
        <f>SUM(K37,K40,K65:K77,K128,)</f>
        <v>11760380.869999999</v>
      </c>
      <c r="L36" s="2623">
        <f>SUM(L37,L40,L65:L77,L128,)</f>
        <v>0</v>
      </c>
      <c r="M36" s="2624" t="e">
        <f>SUM(M37,M65:M77,M128,M40)</f>
        <v>#REF!</v>
      </c>
      <c r="N36" s="2625">
        <f>SUM(N37,N40,N65:N77,N128,)</f>
        <v>16427349.73</v>
      </c>
      <c r="O36" s="2622" t="e">
        <f>SUM(O37,O40,O65:O77,O128,)</f>
        <v>#REF!</v>
      </c>
      <c r="P36" s="2622">
        <f>SUM(P37,P40,P65:P77,P128,)</f>
        <v>11760380.869999999</v>
      </c>
      <c r="Q36" s="2623">
        <f>SUM(Q37,Q40,Q65:Q77,Q128,)</f>
        <v>0</v>
      </c>
      <c r="R36" s="2626" t="e">
        <f>SUM(R37,R65:R77,R128,R40)</f>
        <v>#REF!</v>
      </c>
      <c r="S36" s="2625">
        <f>SUM(S37,S40,S65:S77,S128,)</f>
        <v>19322359.600000001</v>
      </c>
      <c r="T36" s="2622">
        <f>SUM(T37,T40,T65:T77,T128,)</f>
        <v>33197141.189999998</v>
      </c>
      <c r="U36" s="2623">
        <f>SUM(U37,U40,U65:U77,U128,)</f>
        <v>0</v>
      </c>
      <c r="V36" s="2627">
        <f>SUM(V37,V65:V77,V128,V40)</f>
        <v>52519500.789999999</v>
      </c>
      <c r="W36" s="2625">
        <f>SUM(W37,W40,W65:W77,W128,)</f>
        <v>13693910</v>
      </c>
      <c r="X36" s="2622">
        <f>SUM(X37,X40,X65:X77,X128,)</f>
        <v>12149167</v>
      </c>
      <c r="Y36" s="2623">
        <f>SUM(Y37,Y40,Y65:Y77,Y128,)</f>
        <v>0</v>
      </c>
      <c r="Z36" s="2627">
        <f>SUM(Z37,Z65:Z77,Z128,Z40)</f>
        <v>25843077</v>
      </c>
      <c r="AA36" s="2628">
        <f t="shared" si="7"/>
        <v>49.206631082298223</v>
      </c>
      <c r="AB36" s="1350">
        <f>'[1]PRIH REBALANS'!$AG$71</f>
        <v>13693910</v>
      </c>
      <c r="AC36" s="1001">
        <f>'[1]PRIH REBALANS'!$AH$71</f>
        <v>12149167</v>
      </c>
      <c r="AD36" s="1349">
        <f t="shared" si="2"/>
        <v>0</v>
      </c>
      <c r="AE36" s="209" t="e">
        <f>S36-#REF!</f>
        <v>#REF!</v>
      </c>
    </row>
    <row r="37" spans="1:31" ht="36.75" customHeight="1">
      <c r="A37" s="2629"/>
      <c r="B37" s="2646"/>
      <c r="C37" s="2631" t="s">
        <v>1367</v>
      </c>
      <c r="D37" s="2641">
        <f>SUM(D38:D39)</f>
        <v>0</v>
      </c>
      <c r="E37" s="2643">
        <f>SUM(E38:E39)</f>
        <v>73152</v>
      </c>
      <c r="F37" s="2643">
        <f>SUM(F38:F39)</f>
        <v>615633</v>
      </c>
      <c r="G37" s="2644">
        <f>SUM(G38:G39)</f>
        <v>0</v>
      </c>
      <c r="H37" s="2677">
        <f>H38+H39</f>
        <v>688785</v>
      </c>
      <c r="I37" s="2642">
        <f>SUM(I38:I39)</f>
        <v>0</v>
      </c>
      <c r="J37" s="2643">
        <f>SUM(J38:J39)</f>
        <v>77398</v>
      </c>
      <c r="K37" s="2643">
        <f>SUM(K38:K39)</f>
        <v>615633</v>
      </c>
      <c r="L37" s="2644">
        <f>SUM(L38:L39)</f>
        <v>0</v>
      </c>
      <c r="M37" s="2677">
        <f>M38+M39</f>
        <v>693031</v>
      </c>
      <c r="N37" s="2642">
        <f>SUM(N38:N39)</f>
        <v>0</v>
      </c>
      <c r="O37" s="2643">
        <f>SUM(O38:O39)</f>
        <v>78789</v>
      </c>
      <c r="P37" s="2643">
        <f>SUM(P38:P39)</f>
        <v>615633</v>
      </c>
      <c r="Q37" s="2644">
        <f>SUM(Q38:Q39)</f>
        <v>0</v>
      </c>
      <c r="R37" s="2678">
        <f>R38+R39</f>
        <v>694422</v>
      </c>
      <c r="S37" s="2642">
        <f>SUM(S38:S39)</f>
        <v>0</v>
      </c>
      <c r="T37" s="2643">
        <f>SUM(T38:T39)</f>
        <v>765633</v>
      </c>
      <c r="U37" s="2644">
        <f>SUM(U38:U39)</f>
        <v>0</v>
      </c>
      <c r="V37" s="2679">
        <f>V38+V39</f>
        <v>765633</v>
      </c>
      <c r="W37" s="2642">
        <f>SUM(W38:W39)</f>
        <v>0</v>
      </c>
      <c r="X37" s="2643">
        <f>SUM(X38:X39)</f>
        <v>150000</v>
      </c>
      <c r="Y37" s="2644">
        <f>SUM(Y38:Y39)</f>
        <v>0</v>
      </c>
      <c r="Z37" s="2679">
        <f>Z38+Z39</f>
        <v>150000</v>
      </c>
      <c r="AA37" s="2639">
        <f t="shared" si="7"/>
        <v>19.59163202213071</v>
      </c>
      <c r="AB37" s="1351"/>
      <c r="AC37" s="1351"/>
      <c r="AD37" s="1349">
        <f t="shared" si="2"/>
        <v>0</v>
      </c>
      <c r="AE37" s="209" t="e">
        <f>S37-#REF!</f>
        <v>#REF!</v>
      </c>
    </row>
    <row r="38" spans="1:31" ht="36.75" customHeight="1">
      <c r="A38" s="2629">
        <v>229</v>
      </c>
      <c r="B38" s="2680"/>
      <c r="C38" s="2681" t="s">
        <v>1368</v>
      </c>
      <c r="D38" s="2682"/>
      <c r="E38" s="2649">
        <v>73152</v>
      </c>
      <c r="F38" s="2649">
        <v>615633</v>
      </c>
      <c r="G38" s="2650"/>
      <c r="H38" s="2651">
        <f>D38+E38+G38+F38</f>
        <v>688785</v>
      </c>
      <c r="I38" s="2683"/>
      <c r="J38" s="2649">
        <v>77398</v>
      </c>
      <c r="K38" s="2649">
        <v>615633</v>
      </c>
      <c r="L38" s="2650"/>
      <c r="M38" s="2651">
        <f>I38+J38+L38+K38</f>
        <v>693031</v>
      </c>
      <c r="N38" s="2683"/>
      <c r="O38" s="2649">
        <v>78789</v>
      </c>
      <c r="P38" s="2649">
        <v>615633</v>
      </c>
      <c r="Q38" s="2650"/>
      <c r="R38" s="2653">
        <f>N38+O38+Q38+P38</f>
        <v>694422</v>
      </c>
      <c r="S38" s="2683"/>
      <c r="T38" s="2649">
        <v>150000</v>
      </c>
      <c r="U38" s="2654"/>
      <c r="V38" s="2655">
        <f t="shared" ref="V38:V39" si="34">SUM(S38:U38)</f>
        <v>150000</v>
      </c>
      <c r="W38" s="2683"/>
      <c r="X38" s="2649">
        <v>150000</v>
      </c>
      <c r="Y38" s="2654"/>
      <c r="Z38" s="2655">
        <f t="shared" ref="Z38:Z39" si="35">SUM(W38:Y38)</f>
        <v>150000</v>
      </c>
      <c r="AA38" s="2639">
        <f t="shared" si="7"/>
        <v>100</v>
      </c>
      <c r="AB38" s="1351"/>
      <c r="AC38" s="1351"/>
      <c r="AD38" s="1349">
        <f t="shared" si="2"/>
        <v>0</v>
      </c>
      <c r="AE38" s="209" t="e">
        <f>S38-#REF!</f>
        <v>#REF!</v>
      </c>
    </row>
    <row r="39" spans="1:31" ht="36.75" customHeight="1">
      <c r="A39" s="2629"/>
      <c r="B39" s="2680"/>
      <c r="C39" s="2681" t="s">
        <v>1368</v>
      </c>
      <c r="D39" s="2682"/>
      <c r="E39" s="2667"/>
      <c r="F39" s="2649"/>
      <c r="G39" s="2650"/>
      <c r="H39" s="2651">
        <f>D39+E39+G39</f>
        <v>0</v>
      </c>
      <c r="I39" s="2683"/>
      <c r="J39" s="2667"/>
      <c r="K39" s="2649"/>
      <c r="L39" s="2650"/>
      <c r="M39" s="2651">
        <f>I39+J39+L39</f>
        <v>0</v>
      </c>
      <c r="N39" s="2683"/>
      <c r="O39" s="2667"/>
      <c r="P39" s="2649"/>
      <c r="Q39" s="2650"/>
      <c r="R39" s="2653">
        <f>N39+O39+Q39</f>
        <v>0</v>
      </c>
      <c r="S39" s="2683"/>
      <c r="T39" s="2649">
        <v>615633</v>
      </c>
      <c r="U39" s="2654"/>
      <c r="V39" s="2655">
        <f t="shared" si="34"/>
        <v>615633</v>
      </c>
      <c r="W39" s="2683"/>
      <c r="X39" s="2649"/>
      <c r="Y39" s="2654"/>
      <c r="Z39" s="2655">
        <f t="shared" si="35"/>
        <v>0</v>
      </c>
      <c r="AA39" s="2639">
        <f t="shared" si="7"/>
        <v>0</v>
      </c>
      <c r="AB39" s="1351"/>
      <c r="AC39" s="1351"/>
      <c r="AD39" s="1349">
        <f t="shared" si="2"/>
        <v>0</v>
      </c>
      <c r="AE39" s="209" t="e">
        <f>S39-#REF!</f>
        <v>#REF!</v>
      </c>
    </row>
    <row r="40" spans="1:31" ht="36.75" customHeight="1">
      <c r="A40" s="2629"/>
      <c r="B40" s="2684"/>
      <c r="C40" s="2685" t="s">
        <v>616</v>
      </c>
      <c r="D40" s="2632"/>
      <c r="E40" s="2634" t="e">
        <f>SUM(E41,E44,E47,E50,E53,E56,E59,E62)</f>
        <v>#REF!</v>
      </c>
      <c r="F40" s="2634">
        <f>SUM(F41,F44,F47,F50,F53,F56,F59,F62)</f>
        <v>0</v>
      </c>
      <c r="G40" s="2635">
        <f>SUM(G41,G44,G47,G50,G53,G56,G59,G62)</f>
        <v>0</v>
      </c>
      <c r="H40" s="2636" t="e">
        <f>SUM(H41,H44,H47,H50,H53,H56,H59,H62)</f>
        <v>#REF!</v>
      </c>
      <c r="I40" s="2633"/>
      <c r="J40" s="2634" t="e">
        <f>SUM(J41,J44,J47,J50,J53,J56,J59,J62)</f>
        <v>#REF!</v>
      </c>
      <c r="K40" s="2634">
        <f>SUM(K41,K44,K47,K50,K53,K56,K59,K62)</f>
        <v>0</v>
      </c>
      <c r="L40" s="2635">
        <f>SUM(L41,L44,L47,L50,L53,L56,L59,L62)</f>
        <v>0</v>
      </c>
      <c r="M40" s="2636" t="e">
        <f>SUM(M41,M44,M47,M50,M53,M56,M59,M62)</f>
        <v>#REF!</v>
      </c>
      <c r="N40" s="2633"/>
      <c r="O40" s="2634" t="e">
        <f>SUM(O41,O44,O47,O50,O53,O56,O59,O62)</f>
        <v>#REF!</v>
      </c>
      <c r="P40" s="2634">
        <f>SUM(P41,P44,P47,P50,P53,P56,P59,P62)</f>
        <v>0</v>
      </c>
      <c r="Q40" s="2635">
        <f>SUM(Q41,Q44,Q47,Q50,Q53,Q56,Q59,Q62)</f>
        <v>0</v>
      </c>
      <c r="R40" s="2637" t="e">
        <f>SUM(R41,R44,R47,R50,R53,R56,R59,R62)</f>
        <v>#REF!</v>
      </c>
      <c r="S40" s="2633"/>
      <c r="T40" s="2634">
        <f>SUM(T41,T44,T47,T50,T53,T56,T59,T62)</f>
        <v>11005760</v>
      </c>
      <c r="U40" s="2635">
        <f>SUM(U41,U44,U47,U50,U53,U56,U59,U62)</f>
        <v>0</v>
      </c>
      <c r="V40" s="2638">
        <f>SUM(V41,V44,V47,V50,V53,V56,V59,V62)</f>
        <v>11005760</v>
      </c>
      <c r="W40" s="2633"/>
      <c r="X40" s="2634">
        <f>SUM(X41,X44,X47,X50,X53,X56,X59,X62)</f>
        <v>4036167</v>
      </c>
      <c r="Y40" s="2635">
        <f>SUM(Y41,Y44,Y47,Y50,Y53,Y56,Y59,Y62)</f>
        <v>0</v>
      </c>
      <c r="Z40" s="2638">
        <f>SUM(Z41,Z44,Z47,Z50,Z53,Z56,Z59,Z62)</f>
        <v>4036167</v>
      </c>
      <c r="AA40" s="2639">
        <f t="shared" si="7"/>
        <v>36.673223839153316</v>
      </c>
      <c r="AB40" s="1351"/>
      <c r="AC40" s="1002">
        <f>'GP Prihodi'!V5</f>
        <v>4036167</v>
      </c>
      <c r="AD40" s="1349">
        <f t="shared" si="2"/>
        <v>0</v>
      </c>
      <c r="AE40" s="209" t="e">
        <f>S40-#REF!</f>
        <v>#REF!</v>
      </c>
    </row>
    <row r="41" spans="1:31" ht="36.75" customHeight="1">
      <c r="A41" s="2686">
        <v>223</v>
      </c>
      <c r="B41" s="2684"/>
      <c r="C41" s="2631" t="s">
        <v>1369</v>
      </c>
      <c r="D41" s="2641">
        <f>SUM(D42:D43)</f>
        <v>0</v>
      </c>
      <c r="E41" s="2643">
        <f>SUM(E42:E43,)</f>
        <v>0</v>
      </c>
      <c r="F41" s="2643">
        <f>SUM(F42:F43,)</f>
        <v>0</v>
      </c>
      <c r="G41" s="2644">
        <f>SUM(G42:G43)</f>
        <v>0</v>
      </c>
      <c r="H41" s="2677">
        <f>SUM(H42:H43,)</f>
        <v>0</v>
      </c>
      <c r="I41" s="2642">
        <f>SUM(I42:I43)</f>
        <v>0</v>
      </c>
      <c r="J41" s="2643">
        <f>SUM(J42:J43,)</f>
        <v>0</v>
      </c>
      <c r="K41" s="2643">
        <f>SUM(K42:K43,)</f>
        <v>0</v>
      </c>
      <c r="L41" s="2644">
        <f>SUM(L42:L43)</f>
        <v>0</v>
      </c>
      <c r="M41" s="2677">
        <f>SUM(M42:M43,)</f>
        <v>0</v>
      </c>
      <c r="N41" s="2642">
        <f>SUM(N42:N43)</f>
        <v>0</v>
      </c>
      <c r="O41" s="2643">
        <f>SUM(O42:O43,)</f>
        <v>0</v>
      </c>
      <c r="P41" s="2643">
        <f>SUM(P42:P43,)</f>
        <v>0</v>
      </c>
      <c r="Q41" s="2644">
        <f>SUM(Q42:Q43)</f>
        <v>0</v>
      </c>
      <c r="R41" s="2678">
        <f>SUM(R42:R43,)</f>
        <v>0</v>
      </c>
      <c r="S41" s="2642">
        <f>SUM(S42:S43)</f>
        <v>0</v>
      </c>
      <c r="T41" s="2643">
        <f>SUM(T42:T43,)</f>
        <v>941743</v>
      </c>
      <c r="U41" s="2644">
        <f>SUM(U42:U43,)</f>
        <v>0</v>
      </c>
      <c r="V41" s="2679">
        <f>SUM(V42:V43,)</f>
        <v>941743</v>
      </c>
      <c r="W41" s="2642">
        <f>SUM(W42:W43)</f>
        <v>0</v>
      </c>
      <c r="X41" s="2643">
        <f>SUM(X42:X43,)</f>
        <v>250000</v>
      </c>
      <c r="Y41" s="2644">
        <f>SUM(Y42:Y43,)</f>
        <v>0</v>
      </c>
      <c r="Z41" s="2679">
        <f>SUM(Z42:Z43,)</f>
        <v>250000</v>
      </c>
      <c r="AA41" s="2639">
        <f t="shared" si="7"/>
        <v>26.546520653723999</v>
      </c>
      <c r="AB41" s="1351"/>
      <c r="AC41" s="1002">
        <f>'GP Prihodi'!V6</f>
        <v>250000</v>
      </c>
      <c r="AD41" s="1349">
        <f t="shared" si="2"/>
        <v>0</v>
      </c>
      <c r="AE41" s="209" t="e">
        <f>S41-#REF!</f>
        <v>#REF!</v>
      </c>
    </row>
    <row r="42" spans="1:31" ht="36.75" customHeight="1">
      <c r="A42" s="2645"/>
      <c r="B42" s="2684"/>
      <c r="C42" s="2647" t="s">
        <v>1370</v>
      </c>
      <c r="D42" s="2648"/>
      <c r="E42" s="2649"/>
      <c r="F42" s="2649"/>
      <c r="G42" s="2650"/>
      <c r="H42" s="2651"/>
      <c r="I42" s="2652"/>
      <c r="J42" s="2649"/>
      <c r="K42" s="2649"/>
      <c r="L42" s="2650"/>
      <c r="M42" s="2651"/>
      <c r="N42" s="2652"/>
      <c r="O42" s="2649"/>
      <c r="P42" s="2649"/>
      <c r="Q42" s="2650"/>
      <c r="R42" s="2653"/>
      <c r="S42" s="2652"/>
      <c r="T42" s="2649">
        <v>572770</v>
      </c>
      <c r="U42" s="2654"/>
      <c r="V42" s="2655">
        <f>SUM(S42:U42)</f>
        <v>572770</v>
      </c>
      <c r="W42" s="2652"/>
      <c r="X42" s="2649">
        <v>250000</v>
      </c>
      <c r="Y42" s="2654"/>
      <c r="Z42" s="2655">
        <f>SUM(W42:Y42)</f>
        <v>250000</v>
      </c>
      <c r="AA42" s="2639">
        <f t="shared" si="7"/>
        <v>43.647537405939559</v>
      </c>
      <c r="AB42" s="1351"/>
      <c r="AC42" s="1351"/>
      <c r="AD42" s="1349">
        <f t="shared" si="2"/>
        <v>0</v>
      </c>
      <c r="AE42" s="209" t="e">
        <f>S42-#REF!</f>
        <v>#REF!</v>
      </c>
    </row>
    <row r="43" spans="1:31" ht="36.75" customHeight="1">
      <c r="A43" s="2645"/>
      <c r="B43" s="2646"/>
      <c r="C43" s="2647" t="s">
        <v>1371</v>
      </c>
      <c r="D43" s="2648"/>
      <c r="E43" s="2687"/>
      <c r="F43" s="2649"/>
      <c r="G43" s="2650"/>
      <c r="H43" s="2651"/>
      <c r="I43" s="2652"/>
      <c r="J43" s="2687"/>
      <c r="K43" s="2649"/>
      <c r="L43" s="2650"/>
      <c r="M43" s="2651"/>
      <c r="N43" s="2652"/>
      <c r="O43" s="2687"/>
      <c r="P43" s="2649"/>
      <c r="Q43" s="2650"/>
      <c r="R43" s="2653"/>
      <c r="S43" s="2652"/>
      <c r="T43" s="2649">
        <v>368973</v>
      </c>
      <c r="U43" s="2654"/>
      <c r="V43" s="2655">
        <f>SUM(S43:U43)</f>
        <v>368973</v>
      </c>
      <c r="W43" s="2652"/>
      <c r="X43" s="2649"/>
      <c r="Y43" s="2654"/>
      <c r="Z43" s="2655">
        <f>SUM(W43:Y43)</f>
        <v>0</v>
      </c>
      <c r="AA43" s="2639">
        <f t="shared" si="7"/>
        <v>0</v>
      </c>
      <c r="AB43" s="1351"/>
      <c r="AC43" s="1351"/>
      <c r="AD43" s="1349">
        <f t="shared" si="2"/>
        <v>0</v>
      </c>
      <c r="AE43" s="209" t="e">
        <f>S43-#REF!</f>
        <v>#REF!</v>
      </c>
    </row>
    <row r="44" spans="1:31" ht="36.75" customHeight="1">
      <c r="A44" s="2686">
        <v>223</v>
      </c>
      <c r="B44" s="2630"/>
      <c r="C44" s="2631" t="s">
        <v>1372</v>
      </c>
      <c r="D44" s="2641">
        <f>SUM(D45:D46)</f>
        <v>0</v>
      </c>
      <c r="E44" s="2643">
        <f>SUM(E45:E46,)</f>
        <v>0</v>
      </c>
      <c r="F44" s="2643">
        <f>SUM(F45:F46)</f>
        <v>0</v>
      </c>
      <c r="G44" s="2644">
        <f>SUM(G45:G46)</f>
        <v>0</v>
      </c>
      <c r="H44" s="2677" t="e">
        <f>SUM(H45:H46,)-#REF!</f>
        <v>#REF!</v>
      </c>
      <c r="I44" s="2642">
        <f>SUM(I45:I46)</f>
        <v>0</v>
      </c>
      <c r="J44" s="2643">
        <f>SUM(J45:J46,)</f>
        <v>0</v>
      </c>
      <c r="K44" s="2643">
        <f>SUM(K45:K46)</f>
        <v>0</v>
      </c>
      <c r="L44" s="2644">
        <f>SUM(L45:L46)</f>
        <v>0</v>
      </c>
      <c r="M44" s="2677" t="e">
        <f>SUM(M45:M46,)-#REF!</f>
        <v>#REF!</v>
      </c>
      <c r="N44" s="2642">
        <f>SUM(N45:N46)</f>
        <v>0</v>
      </c>
      <c r="O44" s="2643">
        <f>SUM(O45:O46,)</f>
        <v>0</v>
      </c>
      <c r="P44" s="2643">
        <f>SUM(P45:P46)</f>
        <v>0</v>
      </c>
      <c r="Q44" s="2644">
        <f>SUM(Q45:Q46)</f>
        <v>0</v>
      </c>
      <c r="R44" s="2678" t="e">
        <f>SUM(R45:R46,)-#REF!</f>
        <v>#REF!</v>
      </c>
      <c r="S44" s="2642">
        <f>SUM(S45:S46)</f>
        <v>0</v>
      </c>
      <c r="T44" s="2643">
        <f>SUM(T45:T46,)</f>
        <v>1699285</v>
      </c>
      <c r="U44" s="2644">
        <f>SUM(U45:U46)</f>
        <v>0</v>
      </c>
      <c r="V44" s="2679">
        <f>SUM(V45:V46)</f>
        <v>1699285</v>
      </c>
      <c r="W44" s="2642">
        <f>SUM(W45:W46)</f>
        <v>0</v>
      </c>
      <c r="X44" s="2643">
        <f>SUM(X45:X46,)</f>
        <v>820000</v>
      </c>
      <c r="Y44" s="2644">
        <f>SUM(Y45:Y46)</f>
        <v>0</v>
      </c>
      <c r="Z44" s="2679">
        <f>SUM(Z45:Z46)</f>
        <v>820000</v>
      </c>
      <c r="AA44" s="2639">
        <f t="shared" si="7"/>
        <v>48.255589851025576</v>
      </c>
      <c r="AB44" s="1351"/>
      <c r="AC44" s="1002">
        <f>'GP Prihodi'!V12</f>
        <v>820000</v>
      </c>
      <c r="AD44" s="1349">
        <f t="shared" si="2"/>
        <v>0</v>
      </c>
      <c r="AE44" s="209" t="e">
        <f>S44-#REF!</f>
        <v>#REF!</v>
      </c>
    </row>
    <row r="45" spans="1:31" ht="36.75" customHeight="1">
      <c r="A45" s="2645"/>
      <c r="B45" s="2684"/>
      <c r="C45" s="2647" t="s">
        <v>1370</v>
      </c>
      <c r="D45" s="2648"/>
      <c r="E45" s="2649"/>
      <c r="F45" s="2649"/>
      <c r="G45" s="2650"/>
      <c r="H45" s="2651"/>
      <c r="I45" s="2652"/>
      <c r="J45" s="2649"/>
      <c r="K45" s="2649"/>
      <c r="L45" s="2650"/>
      <c r="M45" s="2651"/>
      <c r="N45" s="2652"/>
      <c r="O45" s="2649"/>
      <c r="P45" s="2649"/>
      <c r="Q45" s="2650"/>
      <c r="R45" s="2653"/>
      <c r="S45" s="2652"/>
      <c r="T45" s="2649">
        <v>1215065</v>
      </c>
      <c r="U45" s="2654"/>
      <c r="V45" s="2655">
        <f>SUM(S45:U45)</f>
        <v>1215065</v>
      </c>
      <c r="W45" s="2652"/>
      <c r="X45" s="2649">
        <v>820000</v>
      </c>
      <c r="Y45" s="2654"/>
      <c r="Z45" s="2655">
        <f>SUM(W45:Y45)</f>
        <v>820000</v>
      </c>
      <c r="AA45" s="2639">
        <f t="shared" si="7"/>
        <v>67.48610156658286</v>
      </c>
      <c r="AB45" s="1351"/>
      <c r="AC45" s="1351"/>
      <c r="AD45" s="1349">
        <f t="shared" si="2"/>
        <v>0</v>
      </c>
      <c r="AE45" s="209" t="e">
        <f>S45-#REF!</f>
        <v>#REF!</v>
      </c>
    </row>
    <row r="46" spans="1:31" ht="36.75" customHeight="1">
      <c r="A46" s="2645"/>
      <c r="B46" s="2646"/>
      <c r="C46" s="2647" t="s">
        <v>1371</v>
      </c>
      <c r="D46" s="2648"/>
      <c r="E46" s="2649"/>
      <c r="F46" s="2649"/>
      <c r="G46" s="2650"/>
      <c r="H46" s="2651"/>
      <c r="I46" s="2652"/>
      <c r="J46" s="2649"/>
      <c r="K46" s="2649"/>
      <c r="L46" s="2650"/>
      <c r="M46" s="2651"/>
      <c r="N46" s="2652"/>
      <c r="O46" s="2649"/>
      <c r="P46" s="2649"/>
      <c r="Q46" s="2650"/>
      <c r="R46" s="2653"/>
      <c r="S46" s="2652"/>
      <c r="T46" s="2649">
        <v>484220</v>
      </c>
      <c r="U46" s="2654"/>
      <c r="V46" s="2655">
        <f>SUM(S46:U46)</f>
        <v>484220</v>
      </c>
      <c r="W46" s="2652"/>
      <c r="X46" s="2649"/>
      <c r="Y46" s="2654"/>
      <c r="Z46" s="2655">
        <f>SUM(W46:Y46)</f>
        <v>0</v>
      </c>
      <c r="AA46" s="2639">
        <f t="shared" si="7"/>
        <v>0</v>
      </c>
      <c r="AB46" s="1351"/>
      <c r="AC46" s="1351"/>
      <c r="AD46" s="1349">
        <f t="shared" si="2"/>
        <v>0</v>
      </c>
      <c r="AE46" s="209" t="e">
        <f>S46-#REF!</f>
        <v>#REF!</v>
      </c>
    </row>
    <row r="47" spans="1:31" ht="36.75" customHeight="1">
      <c r="A47" s="2686">
        <v>223</v>
      </c>
      <c r="B47" s="2646"/>
      <c r="C47" s="2631" t="s">
        <v>1373</v>
      </c>
      <c r="D47" s="2641"/>
      <c r="E47" s="2643">
        <f>SUM(E48:E49)</f>
        <v>0</v>
      </c>
      <c r="F47" s="2643">
        <f>SUM(F48:F49)</f>
        <v>0</v>
      </c>
      <c r="G47" s="2644">
        <f>SUM(G48:G49)</f>
        <v>0</v>
      </c>
      <c r="H47" s="2677">
        <f>SUM(H48:H49)</f>
        <v>0</v>
      </c>
      <c r="I47" s="2642"/>
      <c r="J47" s="2643">
        <f>SUM(J48:J49)</f>
        <v>0</v>
      </c>
      <c r="K47" s="2643">
        <f>SUM(K48:K49)</f>
        <v>0</v>
      </c>
      <c r="L47" s="2644">
        <f>SUM(L48:L49)</f>
        <v>0</v>
      </c>
      <c r="M47" s="2677">
        <f>SUM(M48:M49)</f>
        <v>0</v>
      </c>
      <c r="N47" s="2642"/>
      <c r="O47" s="2643">
        <f>SUM(O48:O49)</f>
        <v>0</v>
      </c>
      <c r="P47" s="2643">
        <f>SUM(P48:P49)</f>
        <v>0</v>
      </c>
      <c r="Q47" s="2644">
        <f>SUM(Q48:Q49)</f>
        <v>0</v>
      </c>
      <c r="R47" s="2678">
        <f>SUM(R48:R49)</f>
        <v>0</v>
      </c>
      <c r="S47" s="2642"/>
      <c r="T47" s="2643">
        <f>SUM(T48:T49)</f>
        <v>738768</v>
      </c>
      <c r="U47" s="2644">
        <f>SUM(U48:U49)</f>
        <v>0</v>
      </c>
      <c r="V47" s="2679">
        <f>SUM(V48:V49)</f>
        <v>738768</v>
      </c>
      <c r="W47" s="2642"/>
      <c r="X47" s="2643">
        <f>SUM(X48:X49)</f>
        <v>200000</v>
      </c>
      <c r="Y47" s="2644">
        <f>SUM(Y48:Y49)</f>
        <v>0</v>
      </c>
      <c r="Z47" s="2679">
        <f>SUM(Z48:Z49)</f>
        <v>200000</v>
      </c>
      <c r="AA47" s="2639">
        <f t="shared" si="7"/>
        <v>27.072098412492153</v>
      </c>
      <c r="AB47" s="1351"/>
      <c r="AC47" s="1002">
        <f>'GP Prihodi'!V19</f>
        <v>200000</v>
      </c>
      <c r="AD47" s="1349">
        <f t="shared" si="2"/>
        <v>0</v>
      </c>
      <c r="AE47" s="209" t="e">
        <f>S47-#REF!</f>
        <v>#REF!</v>
      </c>
    </row>
    <row r="48" spans="1:31" ht="36.75" customHeight="1">
      <c r="A48" s="2645"/>
      <c r="B48" s="2684"/>
      <c r="C48" s="2647" t="s">
        <v>1370</v>
      </c>
      <c r="D48" s="2648"/>
      <c r="E48" s="2649"/>
      <c r="F48" s="2649"/>
      <c r="G48" s="2650"/>
      <c r="H48" s="2651"/>
      <c r="I48" s="2652"/>
      <c r="J48" s="2649"/>
      <c r="K48" s="2649"/>
      <c r="L48" s="2650"/>
      <c r="M48" s="2651"/>
      <c r="N48" s="2652"/>
      <c r="O48" s="2649"/>
      <c r="P48" s="2649"/>
      <c r="Q48" s="2650"/>
      <c r="R48" s="2653"/>
      <c r="S48" s="2652"/>
      <c r="T48" s="2649">
        <v>414040</v>
      </c>
      <c r="U48" s="2654"/>
      <c r="V48" s="2655">
        <f>SUM(S48:U48)</f>
        <v>414040</v>
      </c>
      <c r="W48" s="2652"/>
      <c r="X48" s="2649">
        <v>200000</v>
      </c>
      <c r="Y48" s="2654"/>
      <c r="Z48" s="2655">
        <f>SUM(W48:Y48)</f>
        <v>200000</v>
      </c>
      <c r="AA48" s="2639">
        <f t="shared" si="7"/>
        <v>48.304511641387307</v>
      </c>
      <c r="AB48" s="1351"/>
      <c r="AC48" s="1351"/>
      <c r="AD48" s="1349">
        <f t="shared" si="2"/>
        <v>0</v>
      </c>
      <c r="AE48" s="209" t="e">
        <f>S48-#REF!</f>
        <v>#REF!</v>
      </c>
    </row>
    <row r="49" spans="1:33" ht="36.75" customHeight="1">
      <c r="A49" s="2645"/>
      <c r="B49" s="2646"/>
      <c r="C49" s="2647" t="s">
        <v>1371</v>
      </c>
      <c r="D49" s="2648"/>
      <c r="E49" s="2649"/>
      <c r="F49" s="2649"/>
      <c r="G49" s="2650"/>
      <c r="H49" s="2651"/>
      <c r="I49" s="2652"/>
      <c r="J49" s="2649"/>
      <c r="K49" s="2649"/>
      <c r="L49" s="2650"/>
      <c r="M49" s="2651"/>
      <c r="N49" s="2652"/>
      <c r="O49" s="2649"/>
      <c r="P49" s="2649"/>
      <c r="Q49" s="2650"/>
      <c r="R49" s="2653"/>
      <c r="S49" s="2652"/>
      <c r="T49" s="2649">
        <v>324728</v>
      </c>
      <c r="U49" s="2654"/>
      <c r="V49" s="2655">
        <f>SUM(S49:U49)</f>
        <v>324728</v>
      </c>
      <c r="W49" s="2652"/>
      <c r="X49" s="2649"/>
      <c r="Y49" s="2654"/>
      <c r="Z49" s="2655">
        <f>SUM(W49:Y49)</f>
        <v>0</v>
      </c>
      <c r="AA49" s="2639">
        <f t="shared" si="7"/>
        <v>0</v>
      </c>
      <c r="AB49" s="1351"/>
      <c r="AC49" s="1351"/>
      <c r="AD49" s="1349">
        <f t="shared" si="2"/>
        <v>0</v>
      </c>
      <c r="AE49" s="209" t="e">
        <f>S49-#REF!</f>
        <v>#REF!</v>
      </c>
    </row>
    <row r="50" spans="1:33" ht="36.75" customHeight="1">
      <c r="A50" s="2686">
        <v>223</v>
      </c>
      <c r="B50" s="2630"/>
      <c r="C50" s="2631" t="s">
        <v>1374</v>
      </c>
      <c r="D50" s="2641"/>
      <c r="E50" s="2643" t="e">
        <f>SUM(E51:E52,#REF!)</f>
        <v>#REF!</v>
      </c>
      <c r="F50" s="2643">
        <f>SUM(F51:F52)</f>
        <v>0</v>
      </c>
      <c r="G50" s="2644">
        <f>SUM(G51:G52)</f>
        <v>0</v>
      </c>
      <c r="H50" s="2677" t="e">
        <f>SUM(H51:H52,#REF!)</f>
        <v>#REF!</v>
      </c>
      <c r="I50" s="2642"/>
      <c r="J50" s="2643" t="e">
        <f>SUM(J51:J52,#REF!)</f>
        <v>#REF!</v>
      </c>
      <c r="K50" s="2643">
        <f>SUM(K51:K52)</f>
        <v>0</v>
      </c>
      <c r="L50" s="2644">
        <f>SUM(L51:L52)</f>
        <v>0</v>
      </c>
      <c r="M50" s="2677" t="e">
        <f>SUM(M51:M52,#REF!)</f>
        <v>#REF!</v>
      </c>
      <c r="N50" s="2642"/>
      <c r="O50" s="2643" t="e">
        <f>SUM(O51:O52,#REF!)</f>
        <v>#REF!</v>
      </c>
      <c r="P50" s="2643">
        <f>SUM(P51:P52)</f>
        <v>0</v>
      </c>
      <c r="Q50" s="2644">
        <f>SUM(Q51:Q52)</f>
        <v>0</v>
      </c>
      <c r="R50" s="2678" t="e">
        <f>SUM(R51:R52,#REF!)</f>
        <v>#REF!</v>
      </c>
      <c r="S50" s="2642"/>
      <c r="T50" s="2643">
        <f>SUM(T51:T52,)</f>
        <v>359274</v>
      </c>
      <c r="U50" s="2644">
        <f>SUM(U51:U52)</f>
        <v>0</v>
      </c>
      <c r="V50" s="2679">
        <f>SUM(V51:V52,)</f>
        <v>359274</v>
      </c>
      <c r="W50" s="2642"/>
      <c r="X50" s="2643">
        <f>SUM(X51:X52,)</f>
        <v>55000</v>
      </c>
      <c r="Y50" s="2644">
        <f>SUM(Y51:Y52)</f>
        <v>0</v>
      </c>
      <c r="Z50" s="2679">
        <f>SUM(Z51:Z52,)</f>
        <v>55000</v>
      </c>
      <c r="AA50" s="2639">
        <f t="shared" si="7"/>
        <v>15.308650222392936</v>
      </c>
      <c r="AB50" s="1351"/>
      <c r="AC50" s="1002">
        <f>'GP Prihodi'!V25</f>
        <v>55000</v>
      </c>
      <c r="AD50" s="1349">
        <f t="shared" si="2"/>
        <v>0</v>
      </c>
      <c r="AE50" s="209" t="e">
        <f>S50-#REF!</f>
        <v>#REF!</v>
      </c>
    </row>
    <row r="51" spans="1:33" ht="36.75" customHeight="1">
      <c r="A51" s="2645"/>
      <c r="B51" s="2684"/>
      <c r="C51" s="2647" t="s">
        <v>1370</v>
      </c>
      <c r="D51" s="2648"/>
      <c r="E51" s="2649"/>
      <c r="F51" s="2649"/>
      <c r="G51" s="2650"/>
      <c r="H51" s="2651"/>
      <c r="I51" s="2652"/>
      <c r="J51" s="2649"/>
      <c r="K51" s="2649"/>
      <c r="L51" s="2650"/>
      <c r="M51" s="2651"/>
      <c r="N51" s="2652"/>
      <c r="O51" s="2649"/>
      <c r="P51" s="2649"/>
      <c r="Q51" s="2650"/>
      <c r="R51" s="2653"/>
      <c r="S51" s="2652"/>
      <c r="T51" s="2649">
        <v>193025</v>
      </c>
      <c r="U51" s="2654"/>
      <c r="V51" s="2655">
        <f>SUM(S51:U51)</f>
        <v>193025</v>
      </c>
      <c r="W51" s="2652"/>
      <c r="X51" s="2649">
        <v>55000</v>
      </c>
      <c r="Y51" s="2654"/>
      <c r="Z51" s="2655">
        <f>SUM(W51:Y51)</f>
        <v>55000</v>
      </c>
      <c r="AA51" s="2639">
        <f t="shared" si="7"/>
        <v>28.49371843025515</v>
      </c>
      <c r="AB51" s="1351"/>
      <c r="AC51" s="1351"/>
      <c r="AD51" s="1349">
        <f t="shared" si="2"/>
        <v>0</v>
      </c>
      <c r="AE51" s="209" t="e">
        <f>S51-#REF!</f>
        <v>#REF!</v>
      </c>
    </row>
    <row r="52" spans="1:33" ht="36.75" customHeight="1">
      <c r="A52" s="2645"/>
      <c r="B52" s="2646"/>
      <c r="C52" s="2647" t="s">
        <v>1371</v>
      </c>
      <c r="D52" s="2648"/>
      <c r="E52" s="2649"/>
      <c r="F52" s="2649"/>
      <c r="G52" s="2650"/>
      <c r="H52" s="2651"/>
      <c r="I52" s="2652"/>
      <c r="J52" s="2649"/>
      <c r="K52" s="2649"/>
      <c r="L52" s="2650"/>
      <c r="M52" s="2651"/>
      <c r="N52" s="2652"/>
      <c r="O52" s="2649"/>
      <c r="P52" s="2649"/>
      <c r="Q52" s="2650"/>
      <c r="R52" s="2653"/>
      <c r="S52" s="2652"/>
      <c r="T52" s="2649">
        <v>166249</v>
      </c>
      <c r="U52" s="2654"/>
      <c r="V52" s="2655">
        <f>SUM(S52:U52)</f>
        <v>166249</v>
      </c>
      <c r="W52" s="2652"/>
      <c r="X52" s="2649"/>
      <c r="Y52" s="2654"/>
      <c r="Z52" s="2655">
        <f>SUM(W52:Y52)</f>
        <v>0</v>
      </c>
      <c r="AA52" s="2639">
        <f t="shared" si="7"/>
        <v>0</v>
      </c>
      <c r="AB52" s="1351"/>
      <c r="AC52" s="1351"/>
      <c r="AD52" s="1349">
        <f t="shared" si="2"/>
        <v>0</v>
      </c>
      <c r="AE52" s="209" t="e">
        <f>S52-#REF!</f>
        <v>#REF!</v>
      </c>
    </row>
    <row r="53" spans="1:33" ht="36.75" customHeight="1">
      <c r="A53" s="2686">
        <v>223</v>
      </c>
      <c r="B53" s="2630"/>
      <c r="C53" s="2631" t="s">
        <v>1375</v>
      </c>
      <c r="D53" s="2641"/>
      <c r="E53" s="2643">
        <f>SUM(E54:E55)</f>
        <v>0</v>
      </c>
      <c r="F53" s="2643">
        <f>SUM(F54:F55)</f>
        <v>0</v>
      </c>
      <c r="G53" s="2644">
        <f>SUM(G54:G55)</f>
        <v>0</v>
      </c>
      <c r="H53" s="2677">
        <f>SUM(H54:H55)</f>
        <v>0</v>
      </c>
      <c r="I53" s="2642"/>
      <c r="J53" s="2643">
        <f>SUM(J54:J55)</f>
        <v>0</v>
      </c>
      <c r="K53" s="2643">
        <f>SUM(K54:K55)</f>
        <v>0</v>
      </c>
      <c r="L53" s="2644">
        <f>SUM(L54:L55)</f>
        <v>0</v>
      </c>
      <c r="M53" s="2677">
        <f>SUM(M54:M55)</f>
        <v>0</v>
      </c>
      <c r="N53" s="2642"/>
      <c r="O53" s="2643">
        <f>SUM(O54:O55)</f>
        <v>0</v>
      </c>
      <c r="P53" s="2643">
        <f>SUM(P54:P55)</f>
        <v>0</v>
      </c>
      <c r="Q53" s="2644">
        <f>SUM(Q54:Q55)</f>
        <v>0</v>
      </c>
      <c r="R53" s="2678">
        <f>SUM(R54:R55)</f>
        <v>0</v>
      </c>
      <c r="S53" s="2642"/>
      <c r="T53" s="2643">
        <f>SUM(T54:T55)</f>
        <v>2499596</v>
      </c>
      <c r="U53" s="2644">
        <f>SUM(U54:U55)</f>
        <v>0</v>
      </c>
      <c r="V53" s="2679">
        <f>SUM(V54:V55)</f>
        <v>2499596</v>
      </c>
      <c r="W53" s="2642"/>
      <c r="X53" s="2643">
        <f>SUM(X54:X55)</f>
        <v>1200000</v>
      </c>
      <c r="Y53" s="2644">
        <f>SUM(Y54:Y55)</f>
        <v>0</v>
      </c>
      <c r="Z53" s="2679">
        <f>SUM(Z54:Z55)</f>
        <v>1200000</v>
      </c>
      <c r="AA53" s="2639">
        <f t="shared" si="7"/>
        <v>48.00775805370148</v>
      </c>
      <c r="AB53" s="1351"/>
      <c r="AC53" s="1002">
        <f>'GP Prihodi'!V33</f>
        <v>1200000</v>
      </c>
      <c r="AD53" s="1349">
        <f t="shared" si="2"/>
        <v>0</v>
      </c>
      <c r="AE53" s="209" t="e">
        <f>S53-#REF!</f>
        <v>#REF!</v>
      </c>
    </row>
    <row r="54" spans="1:33" ht="36.75" customHeight="1">
      <c r="A54" s="2645"/>
      <c r="B54" s="2684"/>
      <c r="C54" s="2647" t="s">
        <v>1370</v>
      </c>
      <c r="D54" s="2648"/>
      <c r="E54" s="2649"/>
      <c r="F54" s="2649"/>
      <c r="G54" s="2650"/>
      <c r="H54" s="2651"/>
      <c r="I54" s="2652"/>
      <c r="J54" s="2649"/>
      <c r="K54" s="2649"/>
      <c r="L54" s="2650"/>
      <c r="M54" s="2651"/>
      <c r="N54" s="2652"/>
      <c r="O54" s="2649"/>
      <c r="P54" s="2649"/>
      <c r="Q54" s="2650"/>
      <c r="R54" s="2653"/>
      <c r="S54" s="2652"/>
      <c r="T54" s="2649">
        <v>1550113</v>
      </c>
      <c r="U54" s="2654"/>
      <c r="V54" s="2655">
        <f>SUM(S54:U54)</f>
        <v>1550113</v>
      </c>
      <c r="W54" s="2652"/>
      <c r="X54" s="2649">
        <v>1200000</v>
      </c>
      <c r="Y54" s="2654"/>
      <c r="Z54" s="2655">
        <f>SUM(W54:Y54)</f>
        <v>1200000</v>
      </c>
      <c r="AA54" s="2639">
        <f t="shared" si="7"/>
        <v>77.413711129446696</v>
      </c>
      <c r="AB54" s="1351"/>
      <c r="AC54" s="1351"/>
      <c r="AD54" s="1349">
        <f t="shared" si="2"/>
        <v>0</v>
      </c>
      <c r="AE54" s="209" t="e">
        <f>S54-#REF!</f>
        <v>#REF!</v>
      </c>
    </row>
    <row r="55" spans="1:33" ht="36.75" customHeight="1">
      <c r="A55" s="2645"/>
      <c r="B55" s="2646"/>
      <c r="C55" s="2647" t="s">
        <v>1371</v>
      </c>
      <c r="D55" s="2648"/>
      <c r="E55" s="2649"/>
      <c r="F55" s="2649"/>
      <c r="G55" s="2650"/>
      <c r="H55" s="2651"/>
      <c r="I55" s="2652"/>
      <c r="J55" s="2649"/>
      <c r="K55" s="2649"/>
      <c r="L55" s="2650"/>
      <c r="M55" s="2651"/>
      <c r="N55" s="2652"/>
      <c r="O55" s="2649"/>
      <c r="P55" s="2649"/>
      <c r="Q55" s="2650"/>
      <c r="R55" s="2653"/>
      <c r="S55" s="2652"/>
      <c r="T55" s="2649">
        <v>949483</v>
      </c>
      <c r="U55" s="2654"/>
      <c r="V55" s="2655">
        <f>SUM(S55:U55)</f>
        <v>949483</v>
      </c>
      <c r="W55" s="2652"/>
      <c r="X55" s="2649"/>
      <c r="Y55" s="2654"/>
      <c r="Z55" s="2655">
        <f>SUM(W55:Y55)</f>
        <v>0</v>
      </c>
      <c r="AA55" s="2639">
        <f t="shared" si="7"/>
        <v>0</v>
      </c>
      <c r="AB55" s="1351"/>
      <c r="AC55" s="1351"/>
      <c r="AD55" s="1349">
        <f t="shared" si="2"/>
        <v>0</v>
      </c>
      <c r="AE55" s="209" t="e">
        <f>S55-#REF!</f>
        <v>#REF!</v>
      </c>
    </row>
    <row r="56" spans="1:33" ht="36.75" customHeight="1">
      <c r="A56" s="2686">
        <v>223</v>
      </c>
      <c r="B56" s="2630"/>
      <c r="C56" s="2631" t="s">
        <v>1376</v>
      </c>
      <c r="D56" s="2641"/>
      <c r="E56" s="2643" t="e">
        <f>SUM(E57:E58,#REF!)</f>
        <v>#REF!</v>
      </c>
      <c r="F56" s="2643">
        <f>SUM(F57:F58)</f>
        <v>0</v>
      </c>
      <c r="G56" s="2644">
        <f>SUM(G57:G58)</f>
        <v>0</v>
      </c>
      <c r="H56" s="2677" t="e">
        <f>SUM(H57:H58,#REF!)</f>
        <v>#REF!</v>
      </c>
      <c r="I56" s="2642"/>
      <c r="J56" s="2643" t="e">
        <f>SUM(J57:J58,#REF!)</f>
        <v>#REF!</v>
      </c>
      <c r="K56" s="2643">
        <f>SUM(K57:K58)</f>
        <v>0</v>
      </c>
      <c r="L56" s="2644">
        <f>SUM(L57:L58)</f>
        <v>0</v>
      </c>
      <c r="M56" s="2677" t="e">
        <f>SUM(M57:M58,#REF!)</f>
        <v>#REF!</v>
      </c>
      <c r="N56" s="2642"/>
      <c r="O56" s="2643" t="e">
        <f>SUM(O57:O58,#REF!)</f>
        <v>#REF!</v>
      </c>
      <c r="P56" s="2643">
        <f>SUM(P57:P58)</f>
        <v>0</v>
      </c>
      <c r="Q56" s="2644">
        <f>SUM(Q57:Q58)</f>
        <v>0</v>
      </c>
      <c r="R56" s="2678" t="e">
        <f>SUM(R57:R58,#REF!)</f>
        <v>#REF!</v>
      </c>
      <c r="S56" s="2642"/>
      <c r="T56" s="2643">
        <f>SUM(T57:T58,)</f>
        <v>2676874</v>
      </c>
      <c r="U56" s="2644">
        <f>SUM(U57:U58)</f>
        <v>0</v>
      </c>
      <c r="V56" s="2679">
        <f>SUM(V57:V58)</f>
        <v>2676874</v>
      </c>
      <c r="W56" s="2642"/>
      <c r="X56" s="2643">
        <f>SUM(X57:X58,)</f>
        <v>570000</v>
      </c>
      <c r="Y56" s="2644">
        <f>SUM(Y57:Y58)</f>
        <v>0</v>
      </c>
      <c r="Z56" s="2679">
        <f>SUM(Z57:Z58)</f>
        <v>570000</v>
      </c>
      <c r="AA56" s="2639">
        <f t="shared" si="7"/>
        <v>21.293493828996059</v>
      </c>
      <c r="AB56" s="1351"/>
      <c r="AC56" s="1002">
        <f>'[1]PRIH REBALANS'!$AH$111</f>
        <v>570000</v>
      </c>
      <c r="AD56" s="1349">
        <f t="shared" si="2"/>
        <v>0</v>
      </c>
      <c r="AE56" s="209" t="e">
        <f>S56-#REF!</f>
        <v>#REF!</v>
      </c>
    </row>
    <row r="57" spans="1:33" ht="36.75" customHeight="1">
      <c r="A57" s="2645"/>
      <c r="B57" s="2684"/>
      <c r="C57" s="2647" t="s">
        <v>1370</v>
      </c>
      <c r="D57" s="2648"/>
      <c r="E57" s="2649"/>
      <c r="F57" s="2649"/>
      <c r="G57" s="2650"/>
      <c r="H57" s="2651"/>
      <c r="I57" s="2652"/>
      <c r="J57" s="2649"/>
      <c r="K57" s="2649"/>
      <c r="L57" s="2650"/>
      <c r="M57" s="2651"/>
      <c r="N57" s="2652"/>
      <c r="O57" s="2649"/>
      <c r="P57" s="2649"/>
      <c r="Q57" s="2650"/>
      <c r="R57" s="2653"/>
      <c r="S57" s="2652"/>
      <c r="T57" s="2649">
        <v>810200</v>
      </c>
      <c r="U57" s="2654"/>
      <c r="V57" s="2655">
        <f>SUM(S57:U57)</f>
        <v>810200</v>
      </c>
      <c r="W57" s="2652"/>
      <c r="X57" s="2649">
        <v>570000</v>
      </c>
      <c r="Y57" s="2654"/>
      <c r="Z57" s="2655">
        <f>SUM(W57:Y57)</f>
        <v>570000</v>
      </c>
      <c r="AA57" s="2639">
        <f t="shared" si="7"/>
        <v>70.352999259442115</v>
      </c>
      <c r="AB57" s="1351"/>
      <c r="AC57" s="1351"/>
      <c r="AD57" s="1349">
        <f t="shared" si="2"/>
        <v>0</v>
      </c>
      <c r="AE57" s="209" t="e">
        <f>S57-#REF!</f>
        <v>#REF!</v>
      </c>
    </row>
    <row r="58" spans="1:33" ht="36.75" customHeight="1">
      <c r="A58" s="2645"/>
      <c r="B58" s="2646"/>
      <c r="C58" s="2647" t="s">
        <v>1371</v>
      </c>
      <c r="D58" s="2648"/>
      <c r="E58" s="2649"/>
      <c r="F58" s="2649"/>
      <c r="G58" s="2650"/>
      <c r="H58" s="2651"/>
      <c r="I58" s="2652"/>
      <c r="J58" s="2649"/>
      <c r="K58" s="2649"/>
      <c r="L58" s="2650"/>
      <c r="M58" s="2651"/>
      <c r="N58" s="2652"/>
      <c r="O58" s="2649"/>
      <c r="P58" s="2649"/>
      <c r="Q58" s="2650"/>
      <c r="R58" s="2653"/>
      <c r="S58" s="2652"/>
      <c r="T58" s="2649">
        <v>1866674</v>
      </c>
      <c r="U58" s="2654"/>
      <c r="V58" s="2655">
        <f>SUM(S58:U58)</f>
        <v>1866674</v>
      </c>
      <c r="W58" s="2652"/>
      <c r="X58" s="2649"/>
      <c r="Y58" s="2654"/>
      <c r="Z58" s="2655">
        <f>SUM(W58:Y58)</f>
        <v>0</v>
      </c>
      <c r="AA58" s="2639">
        <f t="shared" si="7"/>
        <v>0</v>
      </c>
      <c r="AB58" s="1351"/>
      <c r="AC58" s="1351"/>
      <c r="AD58" s="1349">
        <f t="shared" si="2"/>
        <v>0</v>
      </c>
      <c r="AE58" s="209" t="e">
        <f>S58-#REF!</f>
        <v>#REF!</v>
      </c>
      <c r="AF58" s="209">
        <f>'[2]PRIH REBALANS'!$J$133+'[2]PRIH REBALANS'!$J$136+'[2]PRIH REBALANS'!$I$139</f>
        <v>1589466.59</v>
      </c>
    </row>
    <row r="59" spans="1:33" ht="36.75" customHeight="1">
      <c r="A59" s="2686">
        <v>223</v>
      </c>
      <c r="B59" s="2630"/>
      <c r="C59" s="2631" t="s">
        <v>1377</v>
      </c>
      <c r="D59" s="2641"/>
      <c r="E59" s="2643">
        <f>SUM(E60:E61)</f>
        <v>0</v>
      </c>
      <c r="F59" s="2643">
        <f>SUM(F60:F61)</f>
        <v>0</v>
      </c>
      <c r="G59" s="2644">
        <f>SUM(G60:G61)</f>
        <v>0</v>
      </c>
      <c r="H59" s="2677" t="e">
        <f>SUM(H60:H61,#REF!)</f>
        <v>#REF!</v>
      </c>
      <c r="I59" s="2642"/>
      <c r="J59" s="2643">
        <f>SUM(J60:J61)</f>
        <v>0</v>
      </c>
      <c r="K59" s="2643">
        <f>SUM(K60:K61)</f>
        <v>0</v>
      </c>
      <c r="L59" s="2644">
        <f>SUM(L60:L61)</f>
        <v>0</v>
      </c>
      <c r="M59" s="2677" t="e">
        <f>SUM(M60:M61,#REF!)</f>
        <v>#REF!</v>
      </c>
      <c r="N59" s="2642"/>
      <c r="O59" s="2643">
        <f>SUM(O60:O61)</f>
        <v>0</v>
      </c>
      <c r="P59" s="2643">
        <f>SUM(P60:P61)</f>
        <v>0</v>
      </c>
      <c r="Q59" s="2644">
        <f>SUM(Q60:Q61)</f>
        <v>0</v>
      </c>
      <c r="R59" s="2678" t="e">
        <f>SUM(R60:R61,#REF!)</f>
        <v>#REF!</v>
      </c>
      <c r="S59" s="2642"/>
      <c r="T59" s="2643">
        <f>SUM(T60:T61)</f>
        <v>846285</v>
      </c>
      <c r="U59" s="2644">
        <f>SUM(U60:U61)</f>
        <v>0</v>
      </c>
      <c r="V59" s="2679">
        <f>SUM(V60:V61,)</f>
        <v>846285</v>
      </c>
      <c r="W59" s="2642"/>
      <c r="X59" s="2643">
        <f>SUM(X60:X61)</f>
        <v>160000</v>
      </c>
      <c r="Y59" s="2644">
        <f>SUM(Y60:Y61)</f>
        <v>0</v>
      </c>
      <c r="Z59" s="2679">
        <f>SUM(Z60:Z61,)</f>
        <v>160000</v>
      </c>
      <c r="AA59" s="2639">
        <f t="shared" si="7"/>
        <v>18.906160454220505</v>
      </c>
      <c r="AB59" s="1351"/>
      <c r="AC59" s="1002">
        <f>'[1]PRIH REBALANS'!$AH$120</f>
        <v>160000</v>
      </c>
      <c r="AD59" s="1349">
        <f t="shared" si="2"/>
        <v>0</v>
      </c>
      <c r="AE59" s="209" t="e">
        <f>S59-#REF!</f>
        <v>#REF!</v>
      </c>
    </row>
    <row r="60" spans="1:33" ht="36.75" customHeight="1">
      <c r="A60" s="2645"/>
      <c r="B60" s="2684"/>
      <c r="C60" s="2647" t="s">
        <v>1370</v>
      </c>
      <c r="D60" s="2648"/>
      <c r="E60" s="2649"/>
      <c r="F60" s="2649"/>
      <c r="G60" s="2650"/>
      <c r="H60" s="2651"/>
      <c r="I60" s="2652"/>
      <c r="J60" s="2649"/>
      <c r="K60" s="2649"/>
      <c r="L60" s="2650"/>
      <c r="M60" s="2651"/>
      <c r="N60" s="2652"/>
      <c r="O60" s="2649"/>
      <c r="P60" s="2649"/>
      <c r="Q60" s="2650"/>
      <c r="R60" s="2653"/>
      <c r="S60" s="2652"/>
      <c r="T60" s="2649">
        <v>221070</v>
      </c>
      <c r="U60" s="2654"/>
      <c r="V60" s="2655">
        <f>SUM(S60:U60)</f>
        <v>221070</v>
      </c>
      <c r="W60" s="2652"/>
      <c r="X60" s="2649">
        <v>160000</v>
      </c>
      <c r="Y60" s="2654"/>
      <c r="Z60" s="2655">
        <f>SUM(W60:Y60)</f>
        <v>160000</v>
      </c>
      <c r="AA60" s="2639">
        <f t="shared" si="7"/>
        <v>72.375265752928939</v>
      </c>
      <c r="AB60" s="1351"/>
      <c r="AC60" s="1351"/>
      <c r="AD60" s="1349">
        <f t="shared" si="2"/>
        <v>0</v>
      </c>
      <c r="AE60" s="209" t="e">
        <f>S60-#REF!</f>
        <v>#REF!</v>
      </c>
    </row>
    <row r="61" spans="1:33" ht="36.75" customHeight="1">
      <c r="A61" s="2645"/>
      <c r="B61" s="2646"/>
      <c r="C61" s="2647" t="s">
        <v>1371</v>
      </c>
      <c r="D61" s="2648"/>
      <c r="E61" s="2649"/>
      <c r="F61" s="2649"/>
      <c r="G61" s="2650"/>
      <c r="H61" s="2651"/>
      <c r="I61" s="2652"/>
      <c r="J61" s="2649"/>
      <c r="K61" s="2649"/>
      <c r="L61" s="2650"/>
      <c r="M61" s="2651"/>
      <c r="N61" s="2652"/>
      <c r="O61" s="2649"/>
      <c r="P61" s="2649"/>
      <c r="Q61" s="2650"/>
      <c r="R61" s="2653"/>
      <c r="S61" s="2652"/>
      <c r="T61" s="2649">
        <v>625215</v>
      </c>
      <c r="U61" s="2654"/>
      <c r="V61" s="2655">
        <f>SUM(S61:U61)</f>
        <v>625215</v>
      </c>
      <c r="W61" s="2652"/>
      <c r="X61" s="2649"/>
      <c r="Y61" s="2654"/>
      <c r="Z61" s="2655">
        <f>SUM(W61:Y61)</f>
        <v>0</v>
      </c>
      <c r="AA61" s="2639">
        <f t="shared" si="7"/>
        <v>0</v>
      </c>
      <c r="AB61" s="1351"/>
      <c r="AC61" s="1351"/>
      <c r="AD61" s="1349">
        <f t="shared" si="2"/>
        <v>0</v>
      </c>
      <c r="AE61" s="209" t="e">
        <f>S61-#REF!</f>
        <v>#REF!</v>
      </c>
      <c r="AF61">
        <v>796285</v>
      </c>
      <c r="AG61" s="209" t="e">
        <f>#REF!-AF61</f>
        <v>#REF!</v>
      </c>
    </row>
    <row r="62" spans="1:33" ht="36.75" customHeight="1">
      <c r="A62" s="2686">
        <v>223</v>
      </c>
      <c r="B62" s="2688"/>
      <c r="C62" s="2631" t="s">
        <v>1378</v>
      </c>
      <c r="D62" s="2689"/>
      <c r="E62" s="2690">
        <f>SUM(E63:E64)</f>
        <v>0</v>
      </c>
      <c r="F62" s="2690">
        <f>SUM(F63:F64)</f>
        <v>0</v>
      </c>
      <c r="G62" s="2691">
        <f>SUM(G63:G64)</f>
        <v>0</v>
      </c>
      <c r="H62" s="2677">
        <f>SUM(H63:H64)</f>
        <v>0</v>
      </c>
      <c r="I62" s="2692"/>
      <c r="J62" s="2690">
        <f>SUM(J63:J64)</f>
        <v>0</v>
      </c>
      <c r="K62" s="2690">
        <f>SUM(K63:K64)</f>
        <v>0</v>
      </c>
      <c r="L62" s="2691">
        <f>SUM(L63:L64)</f>
        <v>0</v>
      </c>
      <c r="M62" s="2677">
        <f>SUM(M63:M64)</f>
        <v>0</v>
      </c>
      <c r="N62" s="2692"/>
      <c r="O62" s="2690">
        <f>SUM(O63:O64)</f>
        <v>0</v>
      </c>
      <c r="P62" s="2690">
        <f>SUM(P63:P64)</f>
        <v>0</v>
      </c>
      <c r="Q62" s="2691">
        <f>SUM(Q63:Q64)</f>
        <v>0</v>
      </c>
      <c r="R62" s="2678">
        <f>SUM(R63:R64)</f>
        <v>0</v>
      </c>
      <c r="S62" s="2692"/>
      <c r="T62" s="2690">
        <f>SUM(T63:T64)</f>
        <v>1243935</v>
      </c>
      <c r="U62" s="2691">
        <f>SUM(U63:U64)</f>
        <v>0</v>
      </c>
      <c r="V62" s="2679">
        <f>SUM(V63:V64)</f>
        <v>1243935</v>
      </c>
      <c r="W62" s="2692"/>
      <c r="X62" s="2690">
        <f>SUM(X63:X64)</f>
        <v>781167</v>
      </c>
      <c r="Y62" s="2691">
        <f>SUM(Y63:Y64)</f>
        <v>0</v>
      </c>
      <c r="Z62" s="2679">
        <f>SUM(Z63:Z64)</f>
        <v>781167</v>
      </c>
      <c r="AA62" s="2639">
        <f t="shared" si="7"/>
        <v>62.798056168529705</v>
      </c>
      <c r="AB62" s="1351"/>
      <c r="AC62" s="1002">
        <f>'GP Prihodi'!V55</f>
        <v>781167</v>
      </c>
      <c r="AD62" s="1349">
        <f t="shared" si="2"/>
        <v>0</v>
      </c>
      <c r="AE62" s="209" t="e">
        <f>S62-#REF!</f>
        <v>#REF!</v>
      </c>
    </row>
    <row r="63" spans="1:33" ht="36.75" customHeight="1">
      <c r="A63" s="2629"/>
      <c r="B63" s="2684"/>
      <c r="C63" s="2647" t="s">
        <v>1370</v>
      </c>
      <c r="D63" s="2693"/>
      <c r="E63" s="2649"/>
      <c r="F63" s="2649"/>
      <c r="G63" s="2694"/>
      <c r="H63" s="2651"/>
      <c r="I63" s="2695"/>
      <c r="J63" s="2649"/>
      <c r="K63" s="2649"/>
      <c r="L63" s="2694"/>
      <c r="M63" s="2651"/>
      <c r="N63" s="2695"/>
      <c r="O63" s="2649"/>
      <c r="P63" s="2649"/>
      <c r="Q63" s="2694"/>
      <c r="R63" s="2653"/>
      <c r="S63" s="2695"/>
      <c r="T63" s="2649">
        <v>1243935</v>
      </c>
      <c r="U63" s="2654"/>
      <c r="V63" s="2655">
        <f t="shared" ref="V63:V76" si="36">SUM(S63:U63)</f>
        <v>1243935</v>
      </c>
      <c r="W63" s="2695"/>
      <c r="X63" s="2649">
        <v>781167</v>
      </c>
      <c r="Y63" s="2654"/>
      <c r="Z63" s="2655">
        <f t="shared" ref="Z63:Z76" si="37">SUM(W63:Y63)</f>
        <v>781167</v>
      </c>
      <c r="AA63" s="2639">
        <f t="shared" si="7"/>
        <v>62.798056168529705</v>
      </c>
      <c r="AB63" s="1351"/>
      <c r="AC63" s="1351"/>
      <c r="AD63" s="1349">
        <f t="shared" si="2"/>
        <v>0</v>
      </c>
      <c r="AE63" s="209" t="e">
        <f>S63-#REF!</f>
        <v>#REF!</v>
      </c>
    </row>
    <row r="64" spans="1:33" ht="36.75" hidden="1" customHeight="1">
      <c r="A64" s="2629"/>
      <c r="B64" s="2646"/>
      <c r="C64" s="2647" t="s">
        <v>1371</v>
      </c>
      <c r="D64" s="2696"/>
      <c r="E64" s="2649"/>
      <c r="F64" s="2649"/>
      <c r="G64" s="2694"/>
      <c r="H64" s="2651"/>
      <c r="I64" s="2697"/>
      <c r="J64" s="2649"/>
      <c r="K64" s="2649"/>
      <c r="L64" s="2694"/>
      <c r="M64" s="2651"/>
      <c r="N64" s="2697"/>
      <c r="O64" s="2649"/>
      <c r="P64" s="2649"/>
      <c r="Q64" s="2694"/>
      <c r="R64" s="2653"/>
      <c r="S64" s="2697"/>
      <c r="T64" s="2649"/>
      <c r="U64" s="2654"/>
      <c r="V64" s="2655">
        <f t="shared" si="36"/>
        <v>0</v>
      </c>
      <c r="W64" s="2697"/>
      <c r="X64" s="2649"/>
      <c r="Y64" s="2654"/>
      <c r="Z64" s="2655">
        <f t="shared" si="37"/>
        <v>0</v>
      </c>
      <c r="AA64" s="2639" t="e">
        <f t="shared" si="7"/>
        <v>#DIV/0!</v>
      </c>
      <c r="AB64" s="1351"/>
      <c r="AC64" s="1351"/>
      <c r="AD64" s="1349">
        <f t="shared" si="2"/>
        <v>0</v>
      </c>
      <c r="AE64" s="209" t="e">
        <f>S64-#REF!</f>
        <v>#REF!</v>
      </c>
    </row>
    <row r="65" spans="1:32" ht="36.75" customHeight="1">
      <c r="A65" s="2686">
        <v>111</v>
      </c>
      <c r="B65" s="2698">
        <v>721122</v>
      </c>
      <c r="C65" s="2685" t="s">
        <v>1379</v>
      </c>
      <c r="D65" s="2641">
        <v>360570.22</v>
      </c>
      <c r="E65" s="2643"/>
      <c r="F65" s="2643"/>
      <c r="G65" s="2635"/>
      <c r="H65" s="2636">
        <f>SUM(D65:G65)</f>
        <v>360570.22</v>
      </c>
      <c r="I65" s="2642">
        <v>406538</v>
      </c>
      <c r="J65" s="2643"/>
      <c r="K65" s="2643"/>
      <c r="L65" s="2635"/>
      <c r="M65" s="2636">
        <f>SUM(I65:L65)</f>
        <v>406538</v>
      </c>
      <c r="N65" s="2642">
        <v>484265</v>
      </c>
      <c r="O65" s="2643"/>
      <c r="P65" s="2643"/>
      <c r="Q65" s="2635"/>
      <c r="R65" s="2637">
        <f>SUM(N65:Q65)</f>
        <v>484265</v>
      </c>
      <c r="S65" s="2699">
        <v>600000</v>
      </c>
      <c r="T65" s="2700"/>
      <c r="U65" s="2644"/>
      <c r="V65" s="2638">
        <f t="shared" si="36"/>
        <v>600000</v>
      </c>
      <c r="W65" s="2701">
        <v>600000</v>
      </c>
      <c r="X65" s="1380"/>
      <c r="Y65" s="2644"/>
      <c r="Z65" s="2638">
        <f t="shared" si="37"/>
        <v>600000</v>
      </c>
      <c r="AA65" s="2639">
        <f t="shared" si="7"/>
        <v>100</v>
      </c>
      <c r="AB65" s="1351"/>
      <c r="AC65" s="1002"/>
      <c r="AD65" s="1349">
        <f t="shared" si="2"/>
        <v>0</v>
      </c>
      <c r="AE65" s="209" t="e">
        <f>S65-#REF!</f>
        <v>#REF!</v>
      </c>
    </row>
    <row r="66" spans="1:32" ht="36.75" customHeight="1">
      <c r="A66" s="2686" t="s">
        <v>1380</v>
      </c>
      <c r="B66" s="2698">
        <v>721122</v>
      </c>
      <c r="C66" s="2685" t="s">
        <v>1381</v>
      </c>
      <c r="D66" s="2641"/>
      <c r="E66" s="2643">
        <v>168405.47</v>
      </c>
      <c r="F66" s="2643"/>
      <c r="G66" s="2635"/>
      <c r="H66" s="2636">
        <f>SUM(D66:G66)</f>
        <v>168405.47</v>
      </c>
      <c r="I66" s="2642"/>
      <c r="J66" s="2643">
        <v>201534.47</v>
      </c>
      <c r="K66" s="2643"/>
      <c r="L66" s="2635"/>
      <c r="M66" s="2636">
        <f>SUM(I66:L66)</f>
        <v>201534.47</v>
      </c>
      <c r="N66" s="2642"/>
      <c r="O66" s="2643">
        <v>231848</v>
      </c>
      <c r="P66" s="2643"/>
      <c r="Q66" s="2635"/>
      <c r="R66" s="2637">
        <f>SUM(N66:Q66)</f>
        <v>231848</v>
      </c>
      <c r="S66" s="2699"/>
      <c r="T66" s="2700">
        <v>400000</v>
      </c>
      <c r="U66" s="2644"/>
      <c r="V66" s="2638">
        <f t="shared" si="36"/>
        <v>400000</v>
      </c>
      <c r="W66" s="2701"/>
      <c r="X66" s="1575">
        <v>400000</v>
      </c>
      <c r="Y66" s="2644"/>
      <c r="Z66" s="2638">
        <f t="shared" si="37"/>
        <v>400000</v>
      </c>
      <c r="AA66" s="2639">
        <f t="shared" si="7"/>
        <v>100</v>
      </c>
      <c r="AB66" s="1351"/>
      <c r="AC66" s="1002"/>
      <c r="AD66" s="1349">
        <f t="shared" si="2"/>
        <v>0</v>
      </c>
      <c r="AE66" s="209" t="e">
        <f>S66-#REF!</f>
        <v>#REF!</v>
      </c>
    </row>
    <row r="67" spans="1:32" ht="36.75" customHeight="1">
      <c r="A67" s="2686"/>
      <c r="B67" s="2698">
        <v>721122</v>
      </c>
      <c r="C67" s="2685" t="s">
        <v>1528</v>
      </c>
      <c r="D67" s="2641"/>
      <c r="E67" s="2643"/>
      <c r="F67" s="2643">
        <v>276631.19</v>
      </c>
      <c r="G67" s="2635"/>
      <c r="H67" s="2702">
        <f>SUM(D67:G67)</f>
        <v>276631.19</v>
      </c>
      <c r="I67" s="2642"/>
      <c r="J67" s="2643"/>
      <c r="K67" s="2643">
        <v>276631.19</v>
      </c>
      <c r="L67" s="2635"/>
      <c r="M67" s="2702">
        <f>SUM(I67:L67)</f>
        <v>276631.19</v>
      </c>
      <c r="N67" s="2642"/>
      <c r="O67" s="2643"/>
      <c r="P67" s="2643">
        <v>276631.19</v>
      </c>
      <c r="Q67" s="2635"/>
      <c r="R67" s="2703">
        <f>SUM(N67:Q67)</f>
        <v>276631.19</v>
      </c>
      <c r="S67" s="2699"/>
      <c r="T67" s="2700">
        <v>276631.19</v>
      </c>
      <c r="U67" s="2644"/>
      <c r="V67" s="2638">
        <f t="shared" si="36"/>
        <v>276631.19</v>
      </c>
      <c r="W67" s="2701"/>
      <c r="X67" s="1575"/>
      <c r="Y67" s="2644"/>
      <c r="Z67" s="2638">
        <f t="shared" si="37"/>
        <v>0</v>
      </c>
      <c r="AA67" s="2639">
        <f t="shared" si="7"/>
        <v>0</v>
      </c>
      <c r="AB67" s="1351"/>
      <c r="AC67" s="1002"/>
      <c r="AD67" s="1349">
        <f t="shared" si="2"/>
        <v>0</v>
      </c>
      <c r="AE67" s="209" t="e">
        <f>S67-#REF!</f>
        <v>#REF!</v>
      </c>
    </row>
    <row r="68" spans="1:32" ht="36.75" customHeight="1">
      <c r="A68" s="2686"/>
      <c r="B68" s="2698">
        <v>721122</v>
      </c>
      <c r="C68" s="2685" t="s">
        <v>1529</v>
      </c>
      <c r="D68" s="2641"/>
      <c r="E68" s="2643"/>
      <c r="F68" s="2643">
        <v>79</v>
      </c>
      <c r="G68" s="2635"/>
      <c r="H68" s="2702">
        <f t="shared" ref="H68:H76" si="38">SUM(D68:G68)</f>
        <v>79</v>
      </c>
      <c r="I68" s="2642"/>
      <c r="J68" s="2643"/>
      <c r="K68" s="2643">
        <v>79</v>
      </c>
      <c r="L68" s="2635"/>
      <c r="M68" s="2702">
        <f t="shared" ref="M68:M76" si="39">SUM(I68:L68)</f>
        <v>79</v>
      </c>
      <c r="N68" s="2642"/>
      <c r="O68" s="2643"/>
      <c r="P68" s="2643">
        <v>79</v>
      </c>
      <c r="Q68" s="2635"/>
      <c r="R68" s="2703">
        <f t="shared" ref="R68:R76" si="40">SUM(N68:Q68)</f>
        <v>79</v>
      </c>
      <c r="S68" s="2699"/>
      <c r="T68" s="2700">
        <v>79</v>
      </c>
      <c r="U68" s="2644"/>
      <c r="V68" s="2638">
        <f t="shared" si="36"/>
        <v>79</v>
      </c>
      <c r="W68" s="2701"/>
      <c r="X68" s="1575"/>
      <c r="Y68" s="2644"/>
      <c r="Z68" s="2638">
        <f t="shared" si="37"/>
        <v>0</v>
      </c>
      <c r="AA68" s="2639">
        <f t="shared" si="7"/>
        <v>0</v>
      </c>
      <c r="AB68" s="1351"/>
      <c r="AC68" s="1002"/>
      <c r="AD68" s="1349">
        <f t="shared" si="2"/>
        <v>0</v>
      </c>
      <c r="AE68" s="209" t="e">
        <f>S68-#REF!</f>
        <v>#REF!</v>
      </c>
    </row>
    <row r="69" spans="1:32" ht="36.75" customHeight="1">
      <c r="A69" s="2686" t="s">
        <v>319</v>
      </c>
      <c r="B69" s="2698">
        <v>721122</v>
      </c>
      <c r="C69" s="2685" t="s">
        <v>1382</v>
      </c>
      <c r="D69" s="2641">
        <v>11753.99</v>
      </c>
      <c r="E69" s="2643"/>
      <c r="F69" s="2643"/>
      <c r="G69" s="2635"/>
      <c r="H69" s="2702">
        <f t="shared" si="38"/>
        <v>11753.99</v>
      </c>
      <c r="I69" s="2642">
        <v>11753.99</v>
      </c>
      <c r="J69" s="2643"/>
      <c r="K69" s="2643"/>
      <c r="L69" s="2635"/>
      <c r="M69" s="2702">
        <f t="shared" si="39"/>
        <v>11753.99</v>
      </c>
      <c r="N69" s="2642">
        <v>11753.99</v>
      </c>
      <c r="O69" s="2643"/>
      <c r="P69" s="2643"/>
      <c r="Q69" s="2635"/>
      <c r="R69" s="2703">
        <f t="shared" si="40"/>
        <v>11753.99</v>
      </c>
      <c r="S69" s="2699">
        <v>15000</v>
      </c>
      <c r="T69" s="2700">
        <f t="shared" ref="T69:T74" si="41">O69/9*12</f>
        <v>0</v>
      </c>
      <c r="U69" s="2644"/>
      <c r="V69" s="2638">
        <f t="shared" si="36"/>
        <v>15000</v>
      </c>
      <c r="W69" s="2701">
        <v>10000</v>
      </c>
      <c r="X69" s="1575"/>
      <c r="Y69" s="2644"/>
      <c r="Z69" s="2638">
        <f t="shared" si="37"/>
        <v>10000</v>
      </c>
      <c r="AA69" s="2639">
        <f t="shared" si="7"/>
        <v>66.666666666666657</v>
      </c>
      <c r="AB69" s="1351"/>
      <c r="AC69" s="1002"/>
      <c r="AD69" s="1349">
        <f t="shared" si="2"/>
        <v>0</v>
      </c>
      <c r="AE69" s="209" t="e">
        <f>S69-#REF!</f>
        <v>#REF!</v>
      </c>
    </row>
    <row r="70" spans="1:32" ht="36.75" customHeight="1">
      <c r="A70" s="2686" t="s">
        <v>319</v>
      </c>
      <c r="B70" s="2698">
        <v>721122</v>
      </c>
      <c r="C70" s="2685" t="s">
        <v>1383</v>
      </c>
      <c r="D70" s="2641"/>
      <c r="E70" s="2643"/>
      <c r="F70" s="2643"/>
      <c r="G70" s="2635"/>
      <c r="H70" s="2702">
        <f t="shared" si="38"/>
        <v>0</v>
      </c>
      <c r="I70" s="2642"/>
      <c r="J70" s="2643"/>
      <c r="K70" s="2643"/>
      <c r="L70" s="2635"/>
      <c r="M70" s="2702">
        <f t="shared" si="39"/>
        <v>0</v>
      </c>
      <c r="N70" s="2642"/>
      <c r="O70" s="2643"/>
      <c r="P70" s="2643"/>
      <c r="Q70" s="2635"/>
      <c r="R70" s="2703">
        <f t="shared" si="40"/>
        <v>0</v>
      </c>
      <c r="S70" s="2699"/>
      <c r="T70" s="2700">
        <f t="shared" si="41"/>
        <v>0</v>
      </c>
      <c r="U70" s="2644"/>
      <c r="V70" s="2638">
        <f t="shared" si="36"/>
        <v>0</v>
      </c>
      <c r="W70" s="2701"/>
      <c r="X70" s="1575"/>
      <c r="Y70" s="2644"/>
      <c r="Z70" s="2638">
        <f t="shared" si="37"/>
        <v>0</v>
      </c>
      <c r="AA70" s="2639" t="e">
        <f t="shared" si="7"/>
        <v>#DIV/0!</v>
      </c>
      <c r="AB70" s="1351"/>
      <c r="AC70" s="1002"/>
      <c r="AD70" s="1349">
        <f t="shared" ref="AD70:AD133" si="42">W70+X70+Y70-Z70</f>
        <v>0</v>
      </c>
      <c r="AE70" s="209" t="e">
        <f>S70-#REF!</f>
        <v>#REF!</v>
      </c>
    </row>
    <row r="71" spans="1:32" ht="36.75" customHeight="1">
      <c r="A71" s="2686" t="s">
        <v>319</v>
      </c>
      <c r="B71" s="2698" t="s">
        <v>1384</v>
      </c>
      <c r="C71" s="2685" t="s">
        <v>1385</v>
      </c>
      <c r="D71" s="2641"/>
      <c r="E71" s="2643"/>
      <c r="F71" s="2643"/>
      <c r="G71" s="2635"/>
      <c r="H71" s="2702">
        <f t="shared" si="38"/>
        <v>0</v>
      </c>
      <c r="I71" s="2642"/>
      <c r="J71" s="2643"/>
      <c r="K71" s="2643"/>
      <c r="L71" s="2635"/>
      <c r="M71" s="2702">
        <f t="shared" si="39"/>
        <v>0</v>
      </c>
      <c r="N71" s="2642"/>
      <c r="O71" s="2643"/>
      <c r="P71" s="2643"/>
      <c r="Q71" s="2635"/>
      <c r="R71" s="2703">
        <f t="shared" si="40"/>
        <v>0</v>
      </c>
      <c r="S71" s="2699">
        <v>1000</v>
      </c>
      <c r="T71" s="2700">
        <f t="shared" si="41"/>
        <v>0</v>
      </c>
      <c r="U71" s="2644"/>
      <c r="V71" s="2638">
        <f t="shared" si="36"/>
        <v>1000</v>
      </c>
      <c r="W71" s="2701">
        <v>1000</v>
      </c>
      <c r="X71" s="1575"/>
      <c r="Y71" s="2644"/>
      <c r="Z71" s="2638">
        <f t="shared" si="37"/>
        <v>1000</v>
      </c>
      <c r="AA71" s="2639">
        <f t="shared" si="7"/>
        <v>100</v>
      </c>
      <c r="AB71" s="1351"/>
      <c r="AC71" s="1002"/>
      <c r="AD71" s="1349">
        <f t="shared" si="42"/>
        <v>0</v>
      </c>
      <c r="AE71" s="209" t="e">
        <f>S71-#REF!</f>
        <v>#REF!</v>
      </c>
    </row>
    <row r="72" spans="1:32" ht="36.75" customHeight="1">
      <c r="A72" s="2686">
        <v>229</v>
      </c>
      <c r="B72" s="2698">
        <v>721614</v>
      </c>
      <c r="C72" s="2685" t="s">
        <v>1386</v>
      </c>
      <c r="D72" s="2641"/>
      <c r="E72" s="2643">
        <v>45509.42</v>
      </c>
      <c r="F72" s="2643">
        <v>389612</v>
      </c>
      <c r="G72" s="2635"/>
      <c r="H72" s="2702">
        <f t="shared" si="38"/>
        <v>435121.42</v>
      </c>
      <c r="I72" s="2642"/>
      <c r="J72" s="2643">
        <v>45509.42</v>
      </c>
      <c r="K72" s="2643">
        <v>389612</v>
      </c>
      <c r="L72" s="2635"/>
      <c r="M72" s="2702">
        <f t="shared" si="39"/>
        <v>435121.42</v>
      </c>
      <c r="N72" s="2642"/>
      <c r="O72" s="2643">
        <v>47248</v>
      </c>
      <c r="P72" s="2643">
        <v>389612</v>
      </c>
      <c r="Q72" s="2635"/>
      <c r="R72" s="2703">
        <f t="shared" si="40"/>
        <v>436860</v>
      </c>
      <c r="S72" s="2699"/>
      <c r="T72" s="2700">
        <v>60000</v>
      </c>
      <c r="U72" s="2644"/>
      <c r="V72" s="2638">
        <f t="shared" si="36"/>
        <v>60000</v>
      </c>
      <c r="W72" s="2701"/>
      <c r="X72" s="2540">
        <v>30000</v>
      </c>
      <c r="Y72" s="2704"/>
      <c r="Z72" s="2705">
        <f t="shared" si="37"/>
        <v>30000</v>
      </c>
      <c r="AA72" s="2639">
        <f t="shared" ref="AA72:AA135" si="43">Z72/V72*100</f>
        <v>50</v>
      </c>
      <c r="AB72" s="1351"/>
      <c r="AC72" s="1002"/>
      <c r="AD72" s="1349">
        <f t="shared" si="42"/>
        <v>0</v>
      </c>
      <c r="AE72" s="209" t="e">
        <f>S72-#REF!</f>
        <v>#REF!</v>
      </c>
    </row>
    <row r="73" spans="1:32" ht="36.75" customHeight="1">
      <c r="A73" s="2686">
        <v>229</v>
      </c>
      <c r="B73" s="2698">
        <v>721614</v>
      </c>
      <c r="C73" s="2685" t="s">
        <v>1530</v>
      </c>
      <c r="D73" s="2641"/>
      <c r="E73" s="2643"/>
      <c r="F73" s="2643"/>
      <c r="G73" s="2635"/>
      <c r="H73" s="2702">
        <f t="shared" si="38"/>
        <v>0</v>
      </c>
      <c r="I73" s="2642"/>
      <c r="J73" s="2643"/>
      <c r="K73" s="2643"/>
      <c r="L73" s="2635"/>
      <c r="M73" s="2702">
        <f t="shared" si="39"/>
        <v>0</v>
      </c>
      <c r="N73" s="2642"/>
      <c r="O73" s="2643"/>
      <c r="P73" s="2643"/>
      <c r="Q73" s="2635"/>
      <c r="R73" s="2703">
        <f t="shared" si="40"/>
        <v>0</v>
      </c>
      <c r="S73" s="2699"/>
      <c r="T73" s="2700">
        <v>389612</v>
      </c>
      <c r="U73" s="2644"/>
      <c r="V73" s="2638">
        <f t="shared" si="36"/>
        <v>389612</v>
      </c>
      <c r="W73" s="2701"/>
      <c r="X73" s="1575"/>
      <c r="Y73" s="2644"/>
      <c r="Z73" s="2638">
        <f t="shared" si="37"/>
        <v>0</v>
      </c>
      <c r="AA73" s="2639">
        <f t="shared" si="43"/>
        <v>0</v>
      </c>
      <c r="AB73" s="1351"/>
      <c r="AC73" s="1002"/>
      <c r="AD73" s="1349">
        <f t="shared" si="42"/>
        <v>0</v>
      </c>
      <c r="AE73" s="209" t="e">
        <f>S73-#REF!</f>
        <v>#REF!</v>
      </c>
    </row>
    <row r="74" spans="1:32" ht="36.75" customHeight="1">
      <c r="A74" s="2686">
        <v>229</v>
      </c>
      <c r="B74" s="2698">
        <v>721211</v>
      </c>
      <c r="C74" s="2685" t="s">
        <v>90</v>
      </c>
      <c r="D74" s="2641">
        <v>989.53</v>
      </c>
      <c r="E74" s="2643"/>
      <c r="F74" s="2643"/>
      <c r="G74" s="2635"/>
      <c r="H74" s="2702">
        <f t="shared" si="38"/>
        <v>989.53</v>
      </c>
      <c r="I74" s="2642">
        <v>1156.57</v>
      </c>
      <c r="J74" s="2643"/>
      <c r="K74" s="2643"/>
      <c r="L74" s="2635"/>
      <c r="M74" s="2702">
        <f t="shared" si="39"/>
        <v>1156.57</v>
      </c>
      <c r="N74" s="2642">
        <v>1282</v>
      </c>
      <c r="O74" s="2643"/>
      <c r="P74" s="2643"/>
      <c r="Q74" s="2635"/>
      <c r="R74" s="2703">
        <f t="shared" si="40"/>
        <v>1282</v>
      </c>
      <c r="S74" s="2699">
        <v>2000</v>
      </c>
      <c r="T74" s="2700">
        <f t="shared" si="41"/>
        <v>0</v>
      </c>
      <c r="U74" s="2644"/>
      <c r="V74" s="2638">
        <f t="shared" si="36"/>
        <v>2000</v>
      </c>
      <c r="W74" s="2701">
        <v>2000</v>
      </c>
      <c r="X74" s="1575"/>
      <c r="Y74" s="2644"/>
      <c r="Z74" s="2638">
        <f t="shared" si="37"/>
        <v>2000</v>
      </c>
      <c r="AA74" s="2639">
        <f t="shared" si="43"/>
        <v>100</v>
      </c>
      <c r="AB74" s="1351"/>
      <c r="AC74" s="1002"/>
      <c r="AD74" s="1349">
        <f t="shared" si="42"/>
        <v>0</v>
      </c>
      <c r="AE74" s="209" t="e">
        <f>S74-#REF!</f>
        <v>#REF!</v>
      </c>
    </row>
    <row r="75" spans="1:32" ht="36.75" customHeight="1">
      <c r="A75" s="2686">
        <v>229</v>
      </c>
      <c r="B75" s="2698">
        <v>721129</v>
      </c>
      <c r="C75" s="2685" t="s">
        <v>1387</v>
      </c>
      <c r="D75" s="2641"/>
      <c r="E75" s="2643">
        <v>6021</v>
      </c>
      <c r="F75" s="2643">
        <v>65499</v>
      </c>
      <c r="G75" s="2635"/>
      <c r="H75" s="2702">
        <f t="shared" si="38"/>
        <v>71520</v>
      </c>
      <c r="I75" s="2642"/>
      <c r="J75" s="2643">
        <v>6930.3</v>
      </c>
      <c r="K75" s="2643">
        <v>65499</v>
      </c>
      <c r="L75" s="2635"/>
      <c r="M75" s="2702">
        <f t="shared" si="39"/>
        <v>72429.3</v>
      </c>
      <c r="N75" s="2642"/>
      <c r="O75" s="2643">
        <v>7782</v>
      </c>
      <c r="P75" s="2643">
        <v>65499</v>
      </c>
      <c r="Q75" s="2635"/>
      <c r="R75" s="2703">
        <f t="shared" si="40"/>
        <v>73281</v>
      </c>
      <c r="S75" s="2699"/>
      <c r="T75" s="2700">
        <v>11000</v>
      </c>
      <c r="U75" s="2644"/>
      <c r="V75" s="2638">
        <f t="shared" si="36"/>
        <v>11000</v>
      </c>
      <c r="W75" s="2701"/>
      <c r="X75" s="1575">
        <v>11000</v>
      </c>
      <c r="Y75" s="2644"/>
      <c r="Z75" s="2638">
        <f t="shared" si="37"/>
        <v>11000</v>
      </c>
      <c r="AA75" s="2639">
        <f t="shared" si="43"/>
        <v>100</v>
      </c>
      <c r="AB75" s="1351"/>
      <c r="AC75" s="1002"/>
      <c r="AD75" s="1349">
        <f t="shared" si="42"/>
        <v>0</v>
      </c>
      <c r="AE75" s="209" t="e">
        <f>S75-#REF!</f>
        <v>#REF!</v>
      </c>
    </row>
    <row r="76" spans="1:32" ht="36.75" customHeight="1">
      <c r="A76" s="2686">
        <v>229</v>
      </c>
      <c r="B76" s="2698">
        <v>721129</v>
      </c>
      <c r="C76" s="2685" t="s">
        <v>1531</v>
      </c>
      <c r="D76" s="2641"/>
      <c r="E76" s="2643"/>
      <c r="F76" s="2643"/>
      <c r="G76" s="2635"/>
      <c r="H76" s="2702">
        <f t="shared" si="38"/>
        <v>0</v>
      </c>
      <c r="I76" s="2642"/>
      <c r="J76" s="2643"/>
      <c r="K76" s="2643"/>
      <c r="L76" s="2635"/>
      <c r="M76" s="2702">
        <f t="shared" si="39"/>
        <v>0</v>
      </c>
      <c r="N76" s="2642"/>
      <c r="O76" s="2643"/>
      <c r="P76" s="2643"/>
      <c r="Q76" s="2635"/>
      <c r="R76" s="2703">
        <f t="shared" si="40"/>
        <v>0</v>
      </c>
      <c r="S76" s="2699"/>
      <c r="T76" s="2700">
        <v>65499</v>
      </c>
      <c r="U76" s="2644"/>
      <c r="V76" s="2638">
        <f t="shared" si="36"/>
        <v>65499</v>
      </c>
      <c r="W76" s="2701"/>
      <c r="X76" s="1575">
        <f t="shared" ref="X76" si="44">S76/9*12</f>
        <v>0</v>
      </c>
      <c r="Y76" s="2644"/>
      <c r="Z76" s="2638">
        <f t="shared" si="37"/>
        <v>0</v>
      </c>
      <c r="AA76" s="2639">
        <f t="shared" si="43"/>
        <v>0</v>
      </c>
      <c r="AB76" s="1351"/>
      <c r="AC76" s="1002"/>
      <c r="AD76" s="1349">
        <f t="shared" si="42"/>
        <v>0</v>
      </c>
      <c r="AE76" s="209" t="e">
        <f>S76-#REF!</f>
        <v>#REF!</v>
      </c>
    </row>
    <row r="77" spans="1:32" ht="36.75" customHeight="1">
      <c r="A77" s="2629"/>
      <c r="B77" s="2698">
        <v>722000</v>
      </c>
      <c r="C77" s="2685" t="s">
        <v>1388</v>
      </c>
      <c r="D77" s="2632">
        <f t="shared" ref="D77:Z77" si="45">SUM(D78,D80,D85,D102,D107,D113,D116,D123)</f>
        <v>14370243.370000001</v>
      </c>
      <c r="E77" s="2634">
        <f t="shared" si="45"/>
        <v>7227845.4900000002</v>
      </c>
      <c r="F77" s="2634">
        <f t="shared" si="45"/>
        <v>10412926.68</v>
      </c>
      <c r="G77" s="2635">
        <f t="shared" si="45"/>
        <v>0</v>
      </c>
      <c r="H77" s="2636">
        <f t="shared" si="45"/>
        <v>32011015.540000007</v>
      </c>
      <c r="I77" s="2633">
        <f t="shared" si="45"/>
        <v>15061485.77</v>
      </c>
      <c r="J77" s="2634">
        <f t="shared" si="45"/>
        <v>7567247.7799999993</v>
      </c>
      <c r="K77" s="2634">
        <f t="shared" si="45"/>
        <v>10412926.68</v>
      </c>
      <c r="L77" s="2635">
        <f t="shared" si="45"/>
        <v>0</v>
      </c>
      <c r="M77" s="2636">
        <f t="shared" si="45"/>
        <v>33041660.229999997</v>
      </c>
      <c r="N77" s="2633">
        <f t="shared" si="45"/>
        <v>15929548.74</v>
      </c>
      <c r="O77" s="2634">
        <f t="shared" si="45"/>
        <v>7960863.9199999999</v>
      </c>
      <c r="P77" s="2634">
        <f t="shared" si="45"/>
        <v>10412926.68</v>
      </c>
      <c r="Q77" s="2635">
        <f t="shared" si="45"/>
        <v>0</v>
      </c>
      <c r="R77" s="2637">
        <f t="shared" si="45"/>
        <v>34303339.340000004</v>
      </c>
      <c r="S77" s="2633">
        <f t="shared" si="45"/>
        <v>18694359.600000001</v>
      </c>
      <c r="T77" s="2634">
        <f t="shared" si="45"/>
        <v>20222927</v>
      </c>
      <c r="U77" s="2635">
        <f t="shared" si="45"/>
        <v>0</v>
      </c>
      <c r="V77" s="2638">
        <f t="shared" si="45"/>
        <v>38917286.600000001</v>
      </c>
      <c r="W77" s="2633">
        <f t="shared" si="45"/>
        <v>13070910</v>
      </c>
      <c r="X77" s="2634">
        <f t="shared" si="45"/>
        <v>7522000</v>
      </c>
      <c r="Y77" s="2635">
        <f t="shared" si="45"/>
        <v>0</v>
      </c>
      <c r="Z77" s="2638">
        <f t="shared" si="45"/>
        <v>20592910</v>
      </c>
      <c r="AA77" s="2639">
        <f t="shared" si="43"/>
        <v>52.914557511828178</v>
      </c>
      <c r="AB77" s="1351">
        <f>'[1]PRIH REBALANS'!$AK$147</f>
        <v>20592910</v>
      </c>
      <c r="AC77" s="1002">
        <f>'[8]PRIH REBALANS'!$AH$147</f>
        <v>7322000</v>
      </c>
      <c r="AD77" s="1349">
        <f t="shared" si="42"/>
        <v>0</v>
      </c>
      <c r="AE77" s="209" t="e">
        <f>S77-#REF!</f>
        <v>#REF!</v>
      </c>
      <c r="AF77" s="209">
        <f>'Prihodi-opći dio'!D124</f>
        <v>20222925.130000003</v>
      </c>
    </row>
    <row r="78" spans="1:32" ht="36.75" customHeight="1">
      <c r="A78" s="2629"/>
      <c r="B78" s="2698">
        <v>722131</v>
      </c>
      <c r="C78" s="2685" t="s">
        <v>1389</v>
      </c>
      <c r="D78" s="2632">
        <f>SUM(D79)</f>
        <v>597024.6</v>
      </c>
      <c r="E78" s="2634"/>
      <c r="F78" s="2634"/>
      <c r="G78" s="2635">
        <f>SUM(G79)</f>
        <v>0</v>
      </c>
      <c r="H78" s="2636">
        <f>SUM(H79)</f>
        <v>597024.6</v>
      </c>
      <c r="I78" s="2633">
        <f>SUM(I79)</f>
        <v>672076.56</v>
      </c>
      <c r="J78" s="2634"/>
      <c r="K78" s="2634"/>
      <c r="L78" s="2635">
        <f>SUM(L79)</f>
        <v>0</v>
      </c>
      <c r="M78" s="2636">
        <f>SUM(M79)</f>
        <v>672076.56</v>
      </c>
      <c r="N78" s="2633">
        <f>SUM(N79)</f>
        <v>746541</v>
      </c>
      <c r="O78" s="2634"/>
      <c r="P78" s="2634"/>
      <c r="Q78" s="2635">
        <f>SUM(Q79)</f>
        <v>0</v>
      </c>
      <c r="R78" s="2637">
        <f>SUM(R79)</f>
        <v>746541</v>
      </c>
      <c r="S78" s="2633">
        <f>SUM(S79)</f>
        <v>1100000</v>
      </c>
      <c r="T78" s="2634"/>
      <c r="U78" s="2635"/>
      <c r="V78" s="2638">
        <f>SUM(V79)</f>
        <v>1100000</v>
      </c>
      <c r="W78" s="2633">
        <f>SUM(W79)</f>
        <v>1000000</v>
      </c>
      <c r="X78" s="2634"/>
      <c r="Y78" s="2635"/>
      <c r="Z78" s="2638">
        <f>SUM(Z79)</f>
        <v>1000000</v>
      </c>
      <c r="AA78" s="2639">
        <f t="shared" si="43"/>
        <v>90.909090909090907</v>
      </c>
      <c r="AB78" s="1351">
        <f>'[1]PRIH REBALANS'!$AK$148</f>
        <v>1000000</v>
      </c>
      <c r="AC78" s="1002"/>
      <c r="AD78" s="1349">
        <f t="shared" si="42"/>
        <v>0</v>
      </c>
      <c r="AE78" s="209" t="e">
        <f>S78-#REF!</f>
        <v>#REF!</v>
      </c>
    </row>
    <row r="79" spans="1:32" ht="36.75" customHeight="1">
      <c r="A79" s="2629">
        <v>111</v>
      </c>
      <c r="B79" s="2680">
        <v>722131</v>
      </c>
      <c r="C79" s="2681" t="s">
        <v>120</v>
      </c>
      <c r="D79" s="2648">
        <v>597024.6</v>
      </c>
      <c r="E79" s="2649"/>
      <c r="F79" s="2649"/>
      <c r="G79" s="2650"/>
      <c r="H79" s="2651">
        <f>SUM(D79:G79)</f>
        <v>597024.6</v>
      </c>
      <c r="I79" s="2652">
        <v>672076.56</v>
      </c>
      <c r="J79" s="2649"/>
      <c r="K79" s="2649"/>
      <c r="L79" s="2650"/>
      <c r="M79" s="2651">
        <f>SUM(I79:L79)</f>
        <v>672076.56</v>
      </c>
      <c r="N79" s="2652">
        <v>746541</v>
      </c>
      <c r="O79" s="2649"/>
      <c r="P79" s="2649"/>
      <c r="Q79" s="2650"/>
      <c r="R79" s="2653">
        <f>SUM(N79:Q79)</f>
        <v>746541</v>
      </c>
      <c r="S79" s="2652">
        <v>1100000</v>
      </c>
      <c r="T79" s="2649"/>
      <c r="U79" s="2654"/>
      <c r="V79" s="2655">
        <f>SUM(S79:U79)</f>
        <v>1100000</v>
      </c>
      <c r="W79" s="2652">
        <v>1000000</v>
      </c>
      <c r="X79" s="2649"/>
      <c r="Y79" s="2654"/>
      <c r="Z79" s="2655">
        <f>SUM(W79:Y79)</f>
        <v>1000000</v>
      </c>
      <c r="AA79" s="2639">
        <f t="shared" si="43"/>
        <v>90.909090909090907</v>
      </c>
      <c r="AB79" s="1351"/>
      <c r="AC79" s="1351"/>
      <c r="AD79" s="1349">
        <f t="shared" si="42"/>
        <v>0</v>
      </c>
      <c r="AE79" s="209" t="e">
        <f>S79-#REF!</f>
        <v>#REF!</v>
      </c>
    </row>
    <row r="80" spans="1:32" ht="36.75" customHeight="1">
      <c r="A80" s="2686"/>
      <c r="B80" s="2698">
        <v>722300</v>
      </c>
      <c r="C80" s="2685" t="s">
        <v>121</v>
      </c>
      <c r="D80" s="2632">
        <f t="shared" ref="D80:V80" si="46">SUM(D81:D84)</f>
        <v>2676515.41</v>
      </c>
      <c r="E80" s="2634">
        <f t="shared" si="46"/>
        <v>0</v>
      </c>
      <c r="F80" s="2634">
        <f t="shared" si="46"/>
        <v>0</v>
      </c>
      <c r="G80" s="2635">
        <f t="shared" si="46"/>
        <v>0</v>
      </c>
      <c r="H80" s="2636">
        <f t="shared" si="46"/>
        <v>2676515.41</v>
      </c>
      <c r="I80" s="2633">
        <f t="shared" si="46"/>
        <v>3157711.34</v>
      </c>
      <c r="J80" s="2634">
        <f t="shared" si="46"/>
        <v>0</v>
      </c>
      <c r="K80" s="2634">
        <f t="shared" si="46"/>
        <v>0</v>
      </c>
      <c r="L80" s="2635">
        <f t="shared" si="46"/>
        <v>0</v>
      </c>
      <c r="M80" s="2636">
        <f t="shared" si="46"/>
        <v>3157711.34</v>
      </c>
      <c r="N80" s="2633">
        <f t="shared" si="46"/>
        <v>3750587.9000000004</v>
      </c>
      <c r="O80" s="2634">
        <f t="shared" si="46"/>
        <v>0</v>
      </c>
      <c r="P80" s="2634">
        <f t="shared" si="46"/>
        <v>0</v>
      </c>
      <c r="Q80" s="2635">
        <f t="shared" si="46"/>
        <v>0</v>
      </c>
      <c r="R80" s="2637">
        <f t="shared" si="46"/>
        <v>3750587.9000000004</v>
      </c>
      <c r="S80" s="2633">
        <f t="shared" si="46"/>
        <v>5008000</v>
      </c>
      <c r="T80" s="2634">
        <f t="shared" si="46"/>
        <v>0</v>
      </c>
      <c r="U80" s="2635">
        <f t="shared" si="46"/>
        <v>0</v>
      </c>
      <c r="V80" s="2638">
        <f t="shared" si="46"/>
        <v>5008000</v>
      </c>
      <c r="W80" s="2633">
        <f t="shared" ref="W80:Z80" si="47">SUM(W81:W84)</f>
        <v>5508000</v>
      </c>
      <c r="X80" s="2634">
        <f t="shared" si="47"/>
        <v>0</v>
      </c>
      <c r="Y80" s="2635">
        <f t="shared" si="47"/>
        <v>0</v>
      </c>
      <c r="Z80" s="2638">
        <f t="shared" si="47"/>
        <v>5508000</v>
      </c>
      <c r="AA80" s="2639">
        <f t="shared" si="43"/>
        <v>109.98402555910542</v>
      </c>
      <c r="AB80" s="1351">
        <f>'[1]PRIH REBALANS'!$AK$150</f>
        <v>5508000</v>
      </c>
      <c r="AC80" s="1002"/>
      <c r="AD80" s="1349">
        <f t="shared" si="42"/>
        <v>0</v>
      </c>
      <c r="AE80" s="209" t="e">
        <f>S80-#REF!</f>
        <v>#REF!</v>
      </c>
    </row>
    <row r="81" spans="1:32" ht="36.75" customHeight="1">
      <c r="A81" s="2629">
        <v>111</v>
      </c>
      <c r="B81" s="2680">
        <v>722321</v>
      </c>
      <c r="C81" s="2681" t="s">
        <v>122</v>
      </c>
      <c r="D81" s="2648"/>
      <c r="E81" s="2649"/>
      <c r="F81" s="2649"/>
      <c r="G81" s="2650"/>
      <c r="H81" s="2651">
        <f>SUM(D81:G81)</f>
        <v>0</v>
      </c>
      <c r="I81" s="2652"/>
      <c r="J81" s="2649"/>
      <c r="K81" s="2649"/>
      <c r="L81" s="2650"/>
      <c r="M81" s="2651">
        <f>SUM(I81:L81)</f>
        <v>0</v>
      </c>
      <c r="N81" s="2652"/>
      <c r="O81" s="2649"/>
      <c r="P81" s="2649"/>
      <c r="Q81" s="2650"/>
      <c r="R81" s="2653">
        <f>SUM(N81:Q81)</f>
        <v>0</v>
      </c>
      <c r="S81" s="2652">
        <f t="shared" ref="S81" si="48">N81/9*12</f>
        <v>0</v>
      </c>
      <c r="T81" s="2649"/>
      <c r="U81" s="2654"/>
      <c r="V81" s="2655">
        <f>SUM(S81:U81)</f>
        <v>0</v>
      </c>
      <c r="W81" s="2656"/>
      <c r="X81" s="2649"/>
      <c r="Y81" s="2654"/>
      <c r="Z81" s="2655">
        <f>SUM(W81:Y81)</f>
        <v>0</v>
      </c>
      <c r="AA81" s="2639" t="e">
        <f t="shared" si="43"/>
        <v>#DIV/0!</v>
      </c>
      <c r="AB81" s="1351"/>
      <c r="AC81" s="1351"/>
      <c r="AD81" s="1349">
        <f t="shared" si="42"/>
        <v>0</v>
      </c>
      <c r="AE81" s="209" t="e">
        <f>S81-#REF!</f>
        <v>#REF!</v>
      </c>
    </row>
    <row r="82" spans="1:32" ht="36.75" customHeight="1">
      <c r="A82" s="2629">
        <v>111</v>
      </c>
      <c r="B82" s="2680">
        <v>722321</v>
      </c>
      <c r="C82" s="2681" t="s">
        <v>123</v>
      </c>
      <c r="D82" s="2696">
        <v>585071.12</v>
      </c>
      <c r="E82" s="2649"/>
      <c r="F82" s="2649"/>
      <c r="G82" s="2650"/>
      <c r="H82" s="2651">
        <f>SUM(D82:G82)</f>
        <v>585071.12</v>
      </c>
      <c r="I82" s="2697">
        <v>860703.23</v>
      </c>
      <c r="J82" s="2649"/>
      <c r="K82" s="2649"/>
      <c r="L82" s="2650"/>
      <c r="M82" s="2651">
        <f>SUM(I82:L82)</f>
        <v>860703.23</v>
      </c>
      <c r="N82" s="2697">
        <v>1121521.07</v>
      </c>
      <c r="O82" s="2649"/>
      <c r="P82" s="2649"/>
      <c r="Q82" s="2650"/>
      <c r="R82" s="2653">
        <f>SUM(N82:Q82)</f>
        <v>1121521.07</v>
      </c>
      <c r="S82" s="2652">
        <v>1500000</v>
      </c>
      <c r="T82" s="2649"/>
      <c r="U82" s="2654"/>
      <c r="V82" s="2655">
        <f>SUM(S82:U82)</f>
        <v>1500000</v>
      </c>
      <c r="W82" s="2656">
        <v>2000000</v>
      </c>
      <c r="X82" s="2649"/>
      <c r="Y82" s="2654"/>
      <c r="Z82" s="2655">
        <f>SUM(W82:Y82)</f>
        <v>2000000</v>
      </c>
      <c r="AA82" s="2639">
        <f t="shared" si="43"/>
        <v>133.33333333333331</v>
      </c>
      <c r="AB82" s="1351"/>
      <c r="AC82" s="1351"/>
      <c r="AD82" s="1349">
        <f t="shared" si="42"/>
        <v>0</v>
      </c>
      <c r="AE82" s="209" t="e">
        <f>S82-#REF!</f>
        <v>#REF!</v>
      </c>
    </row>
    <row r="83" spans="1:32" ht="36.75" customHeight="1">
      <c r="A83" s="2629">
        <v>111</v>
      </c>
      <c r="B83" s="2680">
        <v>722329</v>
      </c>
      <c r="C83" s="2681" t="s">
        <v>124</v>
      </c>
      <c r="D83" s="2696">
        <v>2087082.59</v>
      </c>
      <c r="E83" s="2649"/>
      <c r="F83" s="2649"/>
      <c r="G83" s="2650"/>
      <c r="H83" s="2651">
        <f>SUM(D83:G83)</f>
        <v>2087082.59</v>
      </c>
      <c r="I83" s="2697">
        <v>2292440.11</v>
      </c>
      <c r="J83" s="2649"/>
      <c r="K83" s="2649"/>
      <c r="L83" s="2650"/>
      <c r="M83" s="2651">
        <f>SUM(I83:L83)</f>
        <v>2292440.11</v>
      </c>
      <c r="N83" s="2697">
        <v>2624156.83</v>
      </c>
      <c r="O83" s="2649"/>
      <c r="P83" s="2649"/>
      <c r="Q83" s="2650"/>
      <c r="R83" s="2653">
        <f>SUM(N83:Q83)</f>
        <v>2624156.83</v>
      </c>
      <c r="S83" s="2652">
        <v>3500000</v>
      </c>
      <c r="T83" s="2649"/>
      <c r="U83" s="2654"/>
      <c r="V83" s="2655">
        <f>SUM(S83:U83)</f>
        <v>3500000</v>
      </c>
      <c r="W83" s="2656">
        <v>3500000</v>
      </c>
      <c r="X83" s="2649"/>
      <c r="Y83" s="2654"/>
      <c r="Z83" s="2655">
        <f>SUM(W83:Y83)</f>
        <v>3500000</v>
      </c>
      <c r="AA83" s="2639">
        <f t="shared" si="43"/>
        <v>100</v>
      </c>
      <c r="AB83" s="1351"/>
      <c r="AC83" s="1351"/>
      <c r="AD83" s="1349">
        <f t="shared" si="42"/>
        <v>0</v>
      </c>
      <c r="AE83" s="209" t="e">
        <f>S83-#REF!</f>
        <v>#REF!</v>
      </c>
    </row>
    <row r="84" spans="1:32" ht="36.75" customHeight="1">
      <c r="A84" s="2629">
        <v>111</v>
      </c>
      <c r="B84" s="2680">
        <v>722329</v>
      </c>
      <c r="C84" s="2681" t="s">
        <v>125</v>
      </c>
      <c r="D84" s="2648">
        <v>4361.7</v>
      </c>
      <c r="E84" s="2649"/>
      <c r="F84" s="2649"/>
      <c r="G84" s="2650"/>
      <c r="H84" s="2651">
        <f>SUM(D84:G84)</f>
        <v>4361.7</v>
      </c>
      <c r="I84" s="2652">
        <v>4568</v>
      </c>
      <c r="J84" s="2649"/>
      <c r="K84" s="2649"/>
      <c r="L84" s="2650"/>
      <c r="M84" s="2651">
        <f>SUM(I84:L84)</f>
        <v>4568</v>
      </c>
      <c r="N84" s="2652">
        <v>4910</v>
      </c>
      <c r="O84" s="2649"/>
      <c r="P84" s="2649"/>
      <c r="Q84" s="2650"/>
      <c r="R84" s="2653">
        <f>SUM(N84:Q84)</f>
        <v>4910</v>
      </c>
      <c r="S84" s="2652">
        <v>8000</v>
      </c>
      <c r="T84" s="2649"/>
      <c r="U84" s="2654"/>
      <c r="V84" s="2655">
        <f>SUM(S84:U84)</f>
        <v>8000</v>
      </c>
      <c r="W84" s="2656">
        <v>8000</v>
      </c>
      <c r="X84" s="2649"/>
      <c r="Y84" s="2654"/>
      <c r="Z84" s="2655">
        <f>SUM(W84:Y84)</f>
        <v>8000</v>
      </c>
      <c r="AA84" s="2639">
        <f t="shared" si="43"/>
        <v>100</v>
      </c>
      <c r="AB84" s="1351"/>
      <c r="AC84" s="1351"/>
      <c r="AD84" s="1349">
        <f t="shared" si="42"/>
        <v>0</v>
      </c>
      <c r="AE84" s="209" t="e">
        <f>S84-#REF!</f>
        <v>#REF!</v>
      </c>
    </row>
    <row r="85" spans="1:32" ht="36.75" customHeight="1">
      <c r="A85" s="2686"/>
      <c r="B85" s="2698">
        <v>722400</v>
      </c>
      <c r="C85" s="2685" t="s">
        <v>1390</v>
      </c>
      <c r="D85" s="2641">
        <f t="shared" ref="D85:V85" si="49">SUM(D86:D101)</f>
        <v>6236860.3900000006</v>
      </c>
      <c r="E85" s="2643">
        <f t="shared" si="49"/>
        <v>5856044.3399999999</v>
      </c>
      <c r="F85" s="2643">
        <f t="shared" si="49"/>
        <v>5822737.3499999996</v>
      </c>
      <c r="G85" s="2644">
        <f t="shared" si="49"/>
        <v>0</v>
      </c>
      <c r="H85" s="2677">
        <f t="shared" si="49"/>
        <v>17915642.080000006</v>
      </c>
      <c r="I85" s="2642">
        <f t="shared" si="49"/>
        <v>6354228.9199999999</v>
      </c>
      <c r="J85" s="2643">
        <f t="shared" si="49"/>
        <v>5996138.6600000001</v>
      </c>
      <c r="K85" s="2643">
        <f t="shared" si="49"/>
        <v>5822737.3499999996</v>
      </c>
      <c r="L85" s="2644">
        <f t="shared" si="49"/>
        <v>0</v>
      </c>
      <c r="M85" s="2677">
        <f t="shared" si="49"/>
        <v>18173104.930000003</v>
      </c>
      <c r="N85" s="2642">
        <f t="shared" si="49"/>
        <v>6515236.3499999996</v>
      </c>
      <c r="O85" s="2643">
        <f t="shared" si="49"/>
        <v>6193575.7000000002</v>
      </c>
      <c r="P85" s="2643">
        <f t="shared" si="49"/>
        <v>5822737.3499999996</v>
      </c>
      <c r="Q85" s="2644">
        <f t="shared" si="49"/>
        <v>0</v>
      </c>
      <c r="R85" s="2678">
        <f t="shared" si="49"/>
        <v>18531549.400000006</v>
      </c>
      <c r="S85" s="2642">
        <f t="shared" si="49"/>
        <v>7515000</v>
      </c>
      <c r="T85" s="2643">
        <f t="shared" si="49"/>
        <v>13272738</v>
      </c>
      <c r="U85" s="2644">
        <f t="shared" si="49"/>
        <v>0</v>
      </c>
      <c r="V85" s="2679">
        <f t="shared" si="49"/>
        <v>20787738</v>
      </c>
      <c r="W85" s="2642">
        <f t="shared" ref="W85:Z85" si="50">SUM(W86:W101)</f>
        <v>5991590</v>
      </c>
      <c r="X85" s="2643">
        <f t="shared" si="50"/>
        <v>5090000</v>
      </c>
      <c r="Y85" s="2644">
        <f t="shared" si="50"/>
        <v>0</v>
      </c>
      <c r="Z85" s="2679">
        <f t="shared" si="50"/>
        <v>11081590</v>
      </c>
      <c r="AA85" s="2639">
        <f t="shared" si="43"/>
        <v>53.308301268757575</v>
      </c>
      <c r="AB85" s="1351">
        <f>'[1]PRIH REBALANS'!$AG$155</f>
        <v>5991590</v>
      </c>
      <c r="AC85" s="1002">
        <f>'[1]PRIH REBALANS'!$AH$155</f>
        <v>5090000</v>
      </c>
      <c r="AD85" s="1349">
        <f t="shared" si="42"/>
        <v>0</v>
      </c>
      <c r="AE85" s="209" t="e">
        <f>S85-#REF!</f>
        <v>#REF!</v>
      </c>
      <c r="AF85" s="209">
        <f>'[2]PRIH REBALANS'!$AH$195+'[2]PRIH REBALANS'!$AI$195</f>
        <v>1293098.33</v>
      </c>
    </row>
    <row r="86" spans="1:32" ht="36.75" customHeight="1">
      <c r="A86" s="2706">
        <v>227</v>
      </c>
      <c r="B86" s="2707" t="s">
        <v>1391</v>
      </c>
      <c r="C86" s="2708" t="s">
        <v>1392</v>
      </c>
      <c r="D86" s="2696"/>
      <c r="E86" s="2709">
        <v>240795.67</v>
      </c>
      <c r="F86" s="2709">
        <v>563159</v>
      </c>
      <c r="G86" s="2694"/>
      <c r="H86" s="2651">
        <f>D86+E86+G86+F86</f>
        <v>803954.67</v>
      </c>
      <c r="I86" s="2697"/>
      <c r="J86" s="2709">
        <v>244125.46</v>
      </c>
      <c r="K86" s="2709">
        <v>563159</v>
      </c>
      <c r="L86" s="2694"/>
      <c r="M86" s="2651">
        <f>I86+J86+L86+K86</f>
        <v>807284.46</v>
      </c>
      <c r="N86" s="2697"/>
      <c r="O86" s="2709">
        <v>244125.46</v>
      </c>
      <c r="P86" s="2709">
        <v>563159</v>
      </c>
      <c r="Q86" s="2694"/>
      <c r="R86" s="2653">
        <f>N86+O86+Q86+P86</f>
        <v>807284.46</v>
      </c>
      <c r="S86" s="2652">
        <f t="shared" ref="S86:T101" si="51">N86/9*12</f>
        <v>0</v>
      </c>
      <c r="T86" s="2709">
        <v>330000</v>
      </c>
      <c r="U86" s="2654"/>
      <c r="V86" s="2655">
        <f t="shared" ref="V86:V111" si="52">SUM(S86:U86)</f>
        <v>330000</v>
      </c>
      <c r="W86" s="2656"/>
      <c r="X86" s="1680">
        <v>400000</v>
      </c>
      <c r="Y86" s="2654"/>
      <c r="Z86" s="2655">
        <f t="shared" ref="Z86:Z101" si="53">SUM(W86:Y86)</f>
        <v>400000</v>
      </c>
      <c r="AA86" s="2639">
        <f t="shared" si="43"/>
        <v>121.21212121212122</v>
      </c>
      <c r="AB86" s="1351"/>
      <c r="AC86" s="1351">
        <f>Z85-'[1]PRIH REBALANS'!$AK$155</f>
        <v>0</v>
      </c>
      <c r="AD86" s="1349">
        <f t="shared" si="42"/>
        <v>0</v>
      </c>
      <c r="AE86" s="209" t="e">
        <f>S86-#REF!</f>
        <v>#REF!</v>
      </c>
      <c r="AF86" s="209" t="e">
        <f>SUM(#REF!)</f>
        <v>#REF!</v>
      </c>
    </row>
    <row r="87" spans="1:32" ht="36.75" customHeight="1">
      <c r="A87" s="2706"/>
      <c r="B87" s="2707" t="s">
        <v>1391</v>
      </c>
      <c r="C87" s="2708" t="s">
        <v>1393</v>
      </c>
      <c r="D87" s="2696"/>
      <c r="E87" s="2709"/>
      <c r="F87" s="2709"/>
      <c r="G87" s="2694"/>
      <c r="H87" s="2651">
        <f t="shared" ref="H87:H101" si="54">D87+E87+G87+F87</f>
        <v>0</v>
      </c>
      <c r="I87" s="2697"/>
      <c r="J87" s="2709"/>
      <c r="K87" s="2709"/>
      <c r="L87" s="2694"/>
      <c r="M87" s="2651">
        <f t="shared" ref="M87:M101" si="55">I87+J87+L87+K87</f>
        <v>0</v>
      </c>
      <c r="N87" s="2697"/>
      <c r="O87" s="2709"/>
      <c r="P87" s="2709"/>
      <c r="Q87" s="2694"/>
      <c r="R87" s="2653">
        <f t="shared" ref="R87:R101" si="56">N87+O87+Q87+P87</f>
        <v>0</v>
      </c>
      <c r="S87" s="2652">
        <f t="shared" si="51"/>
        <v>0</v>
      </c>
      <c r="T87" s="2709">
        <v>563160</v>
      </c>
      <c r="U87" s="2710"/>
      <c r="V87" s="2655">
        <f t="shared" si="52"/>
        <v>563160</v>
      </c>
      <c r="W87" s="2656"/>
      <c r="X87" s="1575"/>
      <c r="Y87" s="2710"/>
      <c r="Z87" s="2655">
        <f t="shared" si="53"/>
        <v>0</v>
      </c>
      <c r="AA87" s="2639">
        <f t="shared" si="43"/>
        <v>0</v>
      </c>
      <c r="AB87" s="1351"/>
      <c r="AC87" s="1351"/>
      <c r="AD87" s="1349">
        <f t="shared" si="42"/>
        <v>0</v>
      </c>
      <c r="AE87" s="209" t="e">
        <f>S87-#REF!</f>
        <v>#REF!</v>
      </c>
    </row>
    <row r="88" spans="1:32" ht="36.75" customHeight="1">
      <c r="A88" s="2629">
        <v>111</v>
      </c>
      <c r="B88" s="2680">
        <v>722461</v>
      </c>
      <c r="C88" s="2681" t="s">
        <v>1394</v>
      </c>
      <c r="D88" s="2648">
        <v>277239.02</v>
      </c>
      <c r="E88" s="2649"/>
      <c r="F88" s="2649"/>
      <c r="G88" s="2650"/>
      <c r="H88" s="2651">
        <f t="shared" si="54"/>
        <v>277239.02</v>
      </c>
      <c r="I88" s="2652">
        <v>278165.62</v>
      </c>
      <c r="J88" s="2649"/>
      <c r="K88" s="2649"/>
      <c r="L88" s="2650"/>
      <c r="M88" s="2651">
        <f t="shared" si="55"/>
        <v>278165.62</v>
      </c>
      <c r="N88" s="2652">
        <v>295745.96999999997</v>
      </c>
      <c r="O88" s="2649"/>
      <c r="P88" s="2649"/>
      <c r="Q88" s="2650"/>
      <c r="R88" s="2653">
        <f t="shared" si="56"/>
        <v>295745.96999999997</v>
      </c>
      <c r="S88" s="2652">
        <v>315000</v>
      </c>
      <c r="T88" s="2649">
        <f t="shared" si="51"/>
        <v>0</v>
      </c>
      <c r="U88" s="2654"/>
      <c r="V88" s="2655">
        <f t="shared" si="52"/>
        <v>315000</v>
      </c>
      <c r="W88" s="2656">
        <v>350000</v>
      </c>
      <c r="X88" s="1575"/>
      <c r="Y88" s="2654"/>
      <c r="Z88" s="2655">
        <f t="shared" si="53"/>
        <v>350000</v>
      </c>
      <c r="AA88" s="2639">
        <f t="shared" si="43"/>
        <v>111.11111111111111</v>
      </c>
      <c r="AB88" s="1351"/>
      <c r="AC88" s="1351"/>
      <c r="AD88" s="1349">
        <f t="shared" si="42"/>
        <v>0</v>
      </c>
      <c r="AE88" s="209" t="e">
        <f>S88-#REF!</f>
        <v>#REF!</v>
      </c>
    </row>
    <row r="89" spans="1:32" ht="36.75" customHeight="1">
      <c r="A89" s="2629">
        <v>228</v>
      </c>
      <c r="B89" s="2680" t="s">
        <v>1395</v>
      </c>
      <c r="C89" s="2681" t="s">
        <v>1396</v>
      </c>
      <c r="D89" s="2648"/>
      <c r="E89" s="2649">
        <v>62761.9</v>
      </c>
      <c r="F89" s="2649">
        <v>679784</v>
      </c>
      <c r="G89" s="2650"/>
      <c r="H89" s="2651">
        <f t="shared" si="54"/>
        <v>742545.9</v>
      </c>
      <c r="I89" s="2652"/>
      <c r="J89" s="2649">
        <v>65778.44</v>
      </c>
      <c r="K89" s="2649">
        <v>679784</v>
      </c>
      <c r="L89" s="2650"/>
      <c r="M89" s="2651">
        <f t="shared" si="55"/>
        <v>745562.44</v>
      </c>
      <c r="N89" s="2652"/>
      <c r="O89" s="2649">
        <v>80470</v>
      </c>
      <c r="P89" s="2649">
        <v>679784</v>
      </c>
      <c r="Q89" s="2650"/>
      <c r="R89" s="2653">
        <f t="shared" si="56"/>
        <v>760254</v>
      </c>
      <c r="S89" s="2652">
        <f t="shared" si="51"/>
        <v>0</v>
      </c>
      <c r="T89" s="2649">
        <v>200000</v>
      </c>
      <c r="U89" s="2654"/>
      <c r="V89" s="2655">
        <f t="shared" si="52"/>
        <v>200000</v>
      </c>
      <c r="W89" s="2656"/>
      <c r="X89" s="1575">
        <v>200000</v>
      </c>
      <c r="Y89" s="2654"/>
      <c r="Z89" s="2655">
        <f t="shared" si="53"/>
        <v>200000</v>
      </c>
      <c r="AA89" s="2639">
        <f t="shared" si="43"/>
        <v>100</v>
      </c>
      <c r="AB89" s="1351"/>
      <c r="AC89" s="1351"/>
      <c r="AD89" s="1349">
        <f t="shared" si="42"/>
        <v>0</v>
      </c>
      <c r="AE89" s="209" t="e">
        <f>S89-#REF!</f>
        <v>#REF!</v>
      </c>
    </row>
    <row r="90" spans="1:32" ht="36.75" customHeight="1">
      <c r="A90" s="2629"/>
      <c r="B90" s="2680">
        <v>722437</v>
      </c>
      <c r="C90" s="2681" t="s">
        <v>1532</v>
      </c>
      <c r="D90" s="2648"/>
      <c r="E90" s="2649"/>
      <c r="F90" s="2649"/>
      <c r="G90" s="2650"/>
      <c r="H90" s="2651">
        <f t="shared" si="54"/>
        <v>0</v>
      </c>
      <c r="I90" s="2652"/>
      <c r="J90" s="2649"/>
      <c r="K90" s="2649"/>
      <c r="L90" s="2650"/>
      <c r="M90" s="2651">
        <f t="shared" si="55"/>
        <v>0</v>
      </c>
      <c r="N90" s="2652"/>
      <c r="O90" s="2649"/>
      <c r="P90" s="2649"/>
      <c r="Q90" s="2650"/>
      <c r="R90" s="2653">
        <f t="shared" si="56"/>
        <v>0</v>
      </c>
      <c r="S90" s="2652">
        <f t="shared" si="51"/>
        <v>0</v>
      </c>
      <c r="T90" s="2649">
        <v>679784</v>
      </c>
      <c r="U90" s="2654"/>
      <c r="V90" s="2655">
        <f t="shared" si="52"/>
        <v>679784</v>
      </c>
      <c r="W90" s="2656"/>
      <c r="X90" s="1575"/>
      <c r="Y90" s="2654"/>
      <c r="Z90" s="2655">
        <f t="shared" si="53"/>
        <v>0</v>
      </c>
      <c r="AA90" s="2639">
        <f t="shared" si="43"/>
        <v>0</v>
      </c>
      <c r="AB90" s="1351"/>
      <c r="AC90" s="1351"/>
      <c r="AD90" s="1349">
        <f t="shared" si="42"/>
        <v>0</v>
      </c>
      <c r="AE90" s="209" t="e">
        <f>S90-#REF!</f>
        <v>#REF!</v>
      </c>
    </row>
    <row r="91" spans="1:32" ht="36.75" customHeight="1">
      <c r="A91" s="2629">
        <v>228</v>
      </c>
      <c r="B91" s="2680">
        <v>722436</v>
      </c>
      <c r="C91" s="2681" t="s">
        <v>1397</v>
      </c>
      <c r="D91" s="2648"/>
      <c r="E91" s="2649">
        <v>53100</v>
      </c>
      <c r="F91" s="2649"/>
      <c r="G91" s="2650"/>
      <c r="H91" s="2651">
        <f t="shared" si="54"/>
        <v>53100</v>
      </c>
      <c r="I91" s="2652"/>
      <c r="J91" s="2649">
        <v>60750</v>
      </c>
      <c r="K91" s="2649"/>
      <c r="L91" s="2650"/>
      <c r="M91" s="2651">
        <f t="shared" si="55"/>
        <v>60750</v>
      </c>
      <c r="N91" s="2652"/>
      <c r="O91" s="2649">
        <v>69975</v>
      </c>
      <c r="P91" s="2649"/>
      <c r="Q91" s="2650"/>
      <c r="R91" s="2653">
        <f t="shared" si="56"/>
        <v>69975</v>
      </c>
      <c r="S91" s="2652">
        <f t="shared" si="51"/>
        <v>0</v>
      </c>
      <c r="T91" s="2649">
        <v>95000</v>
      </c>
      <c r="U91" s="2654"/>
      <c r="V91" s="2655">
        <f t="shared" si="52"/>
        <v>95000</v>
      </c>
      <c r="W91" s="2656"/>
      <c r="X91" s="1575">
        <v>90000</v>
      </c>
      <c r="Y91" s="2654"/>
      <c r="Z91" s="2655">
        <f t="shared" si="53"/>
        <v>90000</v>
      </c>
      <c r="AA91" s="2639">
        <f t="shared" si="43"/>
        <v>94.73684210526315</v>
      </c>
      <c r="AB91" s="1351"/>
      <c r="AC91" s="1351"/>
      <c r="AD91" s="1349">
        <f t="shared" si="42"/>
        <v>0</v>
      </c>
      <c r="AE91" s="209" t="e">
        <f>S91-#REF!</f>
        <v>#REF!</v>
      </c>
    </row>
    <row r="92" spans="1:32" ht="36.75" customHeight="1">
      <c r="A92" s="2629" t="s">
        <v>478</v>
      </c>
      <c r="B92" s="2680" t="s">
        <v>1398</v>
      </c>
      <c r="C92" s="2681" t="s">
        <v>1399</v>
      </c>
      <c r="D92" s="2648"/>
      <c r="E92" s="2649">
        <v>45375.95</v>
      </c>
      <c r="F92" s="2649">
        <v>35152.089999999997</v>
      </c>
      <c r="G92" s="2654"/>
      <c r="H92" s="2651">
        <f t="shared" si="54"/>
        <v>80528.039999999994</v>
      </c>
      <c r="I92" s="2652"/>
      <c r="J92" s="2649">
        <v>54153.85</v>
      </c>
      <c r="K92" s="2649">
        <v>35152.089999999997</v>
      </c>
      <c r="L92" s="2654"/>
      <c r="M92" s="2651">
        <f t="shared" si="55"/>
        <v>89305.94</v>
      </c>
      <c r="N92" s="2652"/>
      <c r="O92" s="2649">
        <v>82610.25</v>
      </c>
      <c r="P92" s="2649">
        <v>35152.089999999997</v>
      </c>
      <c r="Q92" s="2654"/>
      <c r="R92" s="2653">
        <f t="shared" si="56"/>
        <v>117762.34</v>
      </c>
      <c r="S92" s="2652">
        <f t="shared" si="51"/>
        <v>0</v>
      </c>
      <c r="T92" s="2649">
        <v>115000</v>
      </c>
      <c r="U92" s="2654"/>
      <c r="V92" s="2655">
        <f t="shared" si="52"/>
        <v>115000</v>
      </c>
      <c r="W92" s="2656"/>
      <c r="X92" s="1575">
        <v>100000</v>
      </c>
      <c r="Y92" s="2654"/>
      <c r="Z92" s="2655">
        <f t="shared" si="53"/>
        <v>100000</v>
      </c>
      <c r="AA92" s="2639">
        <f t="shared" si="43"/>
        <v>86.956521739130437</v>
      </c>
      <c r="AB92" s="1351"/>
      <c r="AC92" s="1351"/>
      <c r="AD92" s="1349">
        <f t="shared" si="42"/>
        <v>0</v>
      </c>
      <c r="AE92" s="209" t="e">
        <f>S92-#REF!</f>
        <v>#REF!</v>
      </c>
    </row>
    <row r="93" spans="1:32" ht="36.75" customHeight="1">
      <c r="A93" s="2629" t="s">
        <v>478</v>
      </c>
      <c r="B93" s="2680" t="s">
        <v>1400</v>
      </c>
      <c r="C93" s="2681" t="s">
        <v>1401</v>
      </c>
      <c r="D93" s="2648"/>
      <c r="E93" s="2649"/>
      <c r="F93" s="2649"/>
      <c r="G93" s="2654"/>
      <c r="H93" s="2651">
        <f t="shared" si="54"/>
        <v>0</v>
      </c>
      <c r="I93" s="2652"/>
      <c r="J93" s="2649"/>
      <c r="K93" s="2649"/>
      <c r="L93" s="2654"/>
      <c r="M93" s="2651">
        <f t="shared" si="55"/>
        <v>0</v>
      </c>
      <c r="N93" s="2652"/>
      <c r="O93" s="2649"/>
      <c r="P93" s="2649"/>
      <c r="Q93" s="2654"/>
      <c r="R93" s="2653">
        <f t="shared" si="56"/>
        <v>0</v>
      </c>
      <c r="S93" s="2652">
        <f t="shared" si="51"/>
        <v>0</v>
      </c>
      <c r="T93" s="2649">
        <v>35152</v>
      </c>
      <c r="U93" s="2654"/>
      <c r="V93" s="2655">
        <f t="shared" si="52"/>
        <v>35152</v>
      </c>
      <c r="W93" s="2652"/>
      <c r="X93" s="2649"/>
      <c r="Y93" s="2654"/>
      <c r="Z93" s="2655">
        <f t="shared" si="53"/>
        <v>0</v>
      </c>
      <c r="AA93" s="2639">
        <f t="shared" si="43"/>
        <v>0</v>
      </c>
      <c r="AB93" s="1351"/>
      <c r="AC93" s="1351"/>
      <c r="AD93" s="1349">
        <f t="shared" si="42"/>
        <v>0</v>
      </c>
      <c r="AE93" s="209" t="e">
        <f>S93-#REF!</f>
        <v>#REF!</v>
      </c>
    </row>
    <row r="94" spans="1:32" ht="36.75" customHeight="1">
      <c r="A94" s="2629"/>
      <c r="B94" s="2680" t="s">
        <v>1400</v>
      </c>
      <c r="C94" s="2681" t="s">
        <v>1402</v>
      </c>
      <c r="D94" s="2648"/>
      <c r="E94" s="2649">
        <v>56082.82</v>
      </c>
      <c r="F94" s="2649">
        <v>814027</v>
      </c>
      <c r="G94" s="2650"/>
      <c r="H94" s="2651">
        <f t="shared" si="54"/>
        <v>870109.82</v>
      </c>
      <c r="I94" s="2652"/>
      <c r="J94" s="2649">
        <v>56961.120000000003</v>
      </c>
      <c r="K94" s="2649">
        <v>814027</v>
      </c>
      <c r="L94" s="2650"/>
      <c r="M94" s="2651">
        <f t="shared" si="55"/>
        <v>870988.12</v>
      </c>
      <c r="N94" s="2652"/>
      <c r="O94" s="2649">
        <v>58598.12</v>
      </c>
      <c r="P94" s="2649">
        <v>814027</v>
      </c>
      <c r="Q94" s="2650"/>
      <c r="R94" s="2653">
        <f t="shared" si="56"/>
        <v>872625.12</v>
      </c>
      <c r="S94" s="2652">
        <f t="shared" si="51"/>
        <v>0</v>
      </c>
      <c r="T94" s="2649">
        <v>110000</v>
      </c>
      <c r="U94" s="2654"/>
      <c r="V94" s="2655">
        <f t="shared" si="52"/>
        <v>110000</v>
      </c>
      <c r="W94" s="2656"/>
      <c r="X94" s="1575">
        <v>100000</v>
      </c>
      <c r="Y94" s="2654"/>
      <c r="Z94" s="2655">
        <f t="shared" si="53"/>
        <v>100000</v>
      </c>
      <c r="AA94" s="2639">
        <f t="shared" si="43"/>
        <v>90.909090909090907</v>
      </c>
      <c r="AB94" s="1351"/>
      <c r="AC94" s="1351"/>
      <c r="AD94" s="1349">
        <f t="shared" si="42"/>
        <v>0</v>
      </c>
      <c r="AE94" s="209" t="e">
        <f>S94-#REF!</f>
        <v>#REF!</v>
      </c>
    </row>
    <row r="95" spans="1:32" ht="36.75" customHeight="1">
      <c r="A95" s="2629"/>
      <c r="B95" s="2680" t="s">
        <v>1403</v>
      </c>
      <c r="C95" s="2681" t="s">
        <v>1404</v>
      </c>
      <c r="D95" s="2648"/>
      <c r="E95" s="2649"/>
      <c r="F95" s="2649"/>
      <c r="G95" s="2650"/>
      <c r="H95" s="2651">
        <f t="shared" si="54"/>
        <v>0</v>
      </c>
      <c r="I95" s="2652"/>
      <c r="J95" s="2649"/>
      <c r="K95" s="2649"/>
      <c r="L95" s="2650"/>
      <c r="M95" s="2651">
        <f t="shared" si="55"/>
        <v>0</v>
      </c>
      <c r="N95" s="2652"/>
      <c r="O95" s="2649"/>
      <c r="P95" s="2649"/>
      <c r="Q95" s="2650"/>
      <c r="R95" s="2653">
        <f t="shared" si="56"/>
        <v>0</v>
      </c>
      <c r="S95" s="2652">
        <f t="shared" si="51"/>
        <v>0</v>
      </c>
      <c r="T95" s="2649">
        <v>814027</v>
      </c>
      <c r="U95" s="2654"/>
      <c r="V95" s="2655">
        <f t="shared" si="52"/>
        <v>814027</v>
      </c>
      <c r="W95" s="2656"/>
      <c r="X95" s="1575"/>
      <c r="Y95" s="2654"/>
      <c r="Z95" s="2655">
        <f t="shared" si="53"/>
        <v>0</v>
      </c>
      <c r="AA95" s="2639">
        <f t="shared" si="43"/>
        <v>0</v>
      </c>
      <c r="AB95" s="1351"/>
      <c r="AC95" s="1351"/>
      <c r="AD95" s="1349">
        <f t="shared" si="42"/>
        <v>0</v>
      </c>
      <c r="AE95" s="209" t="e">
        <f>S95-#REF!</f>
        <v>#REF!</v>
      </c>
    </row>
    <row r="96" spans="1:32" ht="36.75" customHeight="1">
      <c r="A96" s="2645">
        <v>111</v>
      </c>
      <c r="B96" s="2680">
        <v>722443</v>
      </c>
      <c r="C96" s="2681" t="s">
        <v>1405</v>
      </c>
      <c r="D96" s="2648">
        <v>5397927.8600000003</v>
      </c>
      <c r="E96" s="2649"/>
      <c r="F96" s="2649"/>
      <c r="G96" s="2650"/>
      <c r="H96" s="2651">
        <f t="shared" si="54"/>
        <v>5397927.8600000003</v>
      </c>
      <c r="I96" s="2652">
        <v>5514369.79</v>
      </c>
      <c r="J96" s="2649"/>
      <c r="K96" s="2649"/>
      <c r="L96" s="2650"/>
      <c r="M96" s="2651">
        <f t="shared" si="55"/>
        <v>5514369.79</v>
      </c>
      <c r="N96" s="2652">
        <v>5657796.8700000001</v>
      </c>
      <c r="O96" s="2649"/>
      <c r="P96" s="2649"/>
      <c r="Q96" s="2650"/>
      <c r="R96" s="2653">
        <f t="shared" si="56"/>
        <v>5657796.8700000001</v>
      </c>
      <c r="S96" s="2652">
        <v>6600000</v>
      </c>
      <c r="T96" s="2649">
        <f t="shared" si="51"/>
        <v>0</v>
      </c>
      <c r="U96" s="2654"/>
      <c r="V96" s="2655">
        <f t="shared" si="52"/>
        <v>6600000</v>
      </c>
      <c r="W96" s="2656">
        <v>4200000</v>
      </c>
      <c r="X96" s="1575"/>
      <c r="Y96" s="2654"/>
      <c r="Z96" s="2655">
        <f t="shared" si="53"/>
        <v>4200000</v>
      </c>
      <c r="AA96" s="2639">
        <f t="shared" si="43"/>
        <v>63.636363636363633</v>
      </c>
      <c r="AB96" s="1351"/>
      <c r="AC96" s="1351"/>
      <c r="AD96" s="1349">
        <f t="shared" si="42"/>
        <v>0</v>
      </c>
      <c r="AE96" s="209" t="e">
        <f>S96-#REF!</f>
        <v>#REF!</v>
      </c>
    </row>
    <row r="97" spans="1:31" ht="36.75" customHeight="1">
      <c r="A97" s="2645">
        <v>224</v>
      </c>
      <c r="B97" s="2680">
        <v>722443</v>
      </c>
      <c r="C97" s="2681" t="s">
        <v>1406</v>
      </c>
      <c r="D97" s="2648"/>
      <c r="E97" s="2652">
        <v>5397928</v>
      </c>
      <c r="F97" s="2709">
        <v>3560481</v>
      </c>
      <c r="G97" s="2650"/>
      <c r="H97" s="2651">
        <f t="shared" si="54"/>
        <v>8958409</v>
      </c>
      <c r="I97" s="2652"/>
      <c r="J97" s="2709">
        <v>5514369.79</v>
      </c>
      <c r="K97" s="2709">
        <v>3560481</v>
      </c>
      <c r="L97" s="2650"/>
      <c r="M97" s="2651">
        <f t="shared" si="55"/>
        <v>9074850.7899999991</v>
      </c>
      <c r="N97" s="2652"/>
      <c r="O97" s="2709">
        <v>5657796.8700000001</v>
      </c>
      <c r="P97" s="2709">
        <v>3560481</v>
      </c>
      <c r="Q97" s="2650"/>
      <c r="R97" s="2653">
        <f t="shared" si="56"/>
        <v>9218277.870000001</v>
      </c>
      <c r="S97" s="2652">
        <f t="shared" si="51"/>
        <v>0</v>
      </c>
      <c r="T97" s="2649">
        <v>6600000</v>
      </c>
      <c r="U97" s="2710"/>
      <c r="V97" s="2655">
        <f t="shared" si="52"/>
        <v>6600000</v>
      </c>
      <c r="W97" s="2656"/>
      <c r="X97" s="1575">
        <v>4200000</v>
      </c>
      <c r="Y97" s="2710"/>
      <c r="Z97" s="2655">
        <f t="shared" si="53"/>
        <v>4200000</v>
      </c>
      <c r="AA97" s="2639">
        <f t="shared" si="43"/>
        <v>63.636363636363633</v>
      </c>
      <c r="AB97" s="1351"/>
      <c r="AC97" s="1351"/>
      <c r="AD97" s="1349">
        <f t="shared" si="42"/>
        <v>0</v>
      </c>
      <c r="AE97" s="209" t="e">
        <f>S97-#REF!</f>
        <v>#REF!</v>
      </c>
    </row>
    <row r="98" spans="1:31" ht="36.75" customHeight="1">
      <c r="A98" s="2645"/>
      <c r="B98" s="2680"/>
      <c r="C98" s="2681" t="s">
        <v>1533</v>
      </c>
      <c r="D98" s="2648"/>
      <c r="E98" s="2709"/>
      <c r="F98" s="2709"/>
      <c r="G98" s="2650"/>
      <c r="H98" s="2651">
        <f t="shared" si="54"/>
        <v>0</v>
      </c>
      <c r="I98" s="2652"/>
      <c r="J98" s="2709"/>
      <c r="K98" s="2709"/>
      <c r="L98" s="2650"/>
      <c r="M98" s="2651">
        <f t="shared" si="55"/>
        <v>0</v>
      </c>
      <c r="N98" s="2652"/>
      <c r="O98" s="2709"/>
      <c r="P98" s="2709"/>
      <c r="Q98" s="2650"/>
      <c r="R98" s="2653">
        <f t="shared" si="56"/>
        <v>0</v>
      </c>
      <c r="S98" s="2652">
        <f t="shared" si="51"/>
        <v>0</v>
      </c>
      <c r="T98" s="2649">
        <v>3560481</v>
      </c>
      <c r="U98" s="2710"/>
      <c r="V98" s="2655">
        <f t="shared" si="52"/>
        <v>3560481</v>
      </c>
      <c r="W98" s="2656"/>
      <c r="X98" s="1575"/>
      <c r="Y98" s="2710"/>
      <c r="Z98" s="2655">
        <f t="shared" si="53"/>
        <v>0</v>
      </c>
      <c r="AA98" s="2639">
        <f t="shared" si="43"/>
        <v>0</v>
      </c>
      <c r="AB98" s="1351"/>
      <c r="AC98" s="1351"/>
      <c r="AD98" s="1349">
        <f t="shared" si="42"/>
        <v>0</v>
      </c>
      <c r="AE98" s="209" t="e">
        <f>S98-#REF!</f>
        <v>#REF!</v>
      </c>
    </row>
    <row r="99" spans="1:31" ht="36.75" customHeight="1">
      <c r="A99" s="2645"/>
      <c r="B99" s="2680"/>
      <c r="C99" s="2681" t="s">
        <v>1534</v>
      </c>
      <c r="D99" s="2648"/>
      <c r="E99" s="2709"/>
      <c r="F99" s="2711">
        <v>136070.26</v>
      </c>
      <c r="G99" s="2650"/>
      <c r="H99" s="2651">
        <f t="shared" si="54"/>
        <v>136070.26</v>
      </c>
      <c r="I99" s="2652"/>
      <c r="J99" s="2709"/>
      <c r="K99" s="2711">
        <v>136070.26</v>
      </c>
      <c r="L99" s="2650"/>
      <c r="M99" s="2651">
        <f t="shared" si="55"/>
        <v>136070.26</v>
      </c>
      <c r="N99" s="2652"/>
      <c r="O99" s="2709"/>
      <c r="P99" s="2711">
        <v>136070.26</v>
      </c>
      <c r="Q99" s="2650"/>
      <c r="R99" s="2653">
        <f t="shared" si="56"/>
        <v>136070.26</v>
      </c>
      <c r="S99" s="2652">
        <f t="shared" si="51"/>
        <v>0</v>
      </c>
      <c r="T99" s="2690">
        <v>136070</v>
      </c>
      <c r="U99" s="2691"/>
      <c r="V99" s="2655">
        <f t="shared" si="52"/>
        <v>136070</v>
      </c>
      <c r="W99" s="2652"/>
      <c r="X99" s="2690"/>
      <c r="Y99" s="2691"/>
      <c r="Z99" s="2655">
        <f t="shared" si="53"/>
        <v>0</v>
      </c>
      <c r="AA99" s="2639">
        <f t="shared" si="43"/>
        <v>0</v>
      </c>
      <c r="AB99" s="1351"/>
      <c r="AC99" s="1351"/>
      <c r="AD99" s="1349">
        <f t="shared" si="42"/>
        <v>0</v>
      </c>
      <c r="AE99" s="209" t="e">
        <f>S99-#REF!</f>
        <v>#REF!</v>
      </c>
    </row>
    <row r="100" spans="1:31" ht="36.75" customHeight="1">
      <c r="A100" s="2645"/>
      <c r="B100" s="2680"/>
      <c r="C100" s="2681" t="s">
        <v>1535</v>
      </c>
      <c r="D100" s="2648"/>
      <c r="E100" s="2709"/>
      <c r="F100" s="2711">
        <v>34064</v>
      </c>
      <c r="G100" s="2650"/>
      <c r="H100" s="2651">
        <f t="shared" si="54"/>
        <v>34064</v>
      </c>
      <c r="I100" s="2652"/>
      <c r="J100" s="2709"/>
      <c r="K100" s="2711">
        <v>34064</v>
      </c>
      <c r="L100" s="2650"/>
      <c r="M100" s="2651">
        <f t="shared" si="55"/>
        <v>34064</v>
      </c>
      <c r="N100" s="2652"/>
      <c r="O100" s="2709"/>
      <c r="P100" s="2711">
        <v>34064</v>
      </c>
      <c r="Q100" s="2650"/>
      <c r="R100" s="2653">
        <f t="shared" si="56"/>
        <v>34064</v>
      </c>
      <c r="S100" s="2652">
        <f t="shared" si="51"/>
        <v>0</v>
      </c>
      <c r="T100" s="2690">
        <v>34064</v>
      </c>
      <c r="U100" s="2691"/>
      <c r="V100" s="2655">
        <f t="shared" si="52"/>
        <v>34064</v>
      </c>
      <c r="W100" s="2652"/>
      <c r="X100" s="2690"/>
      <c r="Y100" s="2691"/>
      <c r="Z100" s="2655">
        <f t="shared" si="53"/>
        <v>0</v>
      </c>
      <c r="AA100" s="2639">
        <f t="shared" si="43"/>
        <v>0</v>
      </c>
      <c r="AB100" s="1351"/>
      <c r="AC100" s="1351"/>
      <c r="AD100" s="1349">
        <f t="shared" si="42"/>
        <v>0</v>
      </c>
      <c r="AE100" s="209" t="e">
        <f>S100-#REF!</f>
        <v>#REF!</v>
      </c>
    </row>
    <row r="101" spans="1:31" ht="36.75" customHeight="1">
      <c r="A101" s="2629">
        <v>111</v>
      </c>
      <c r="B101" s="2680">
        <v>722449</v>
      </c>
      <c r="C101" s="2681" t="s">
        <v>1407</v>
      </c>
      <c r="D101" s="2648">
        <v>561693.51</v>
      </c>
      <c r="E101" s="2649"/>
      <c r="F101" s="2649"/>
      <c r="G101" s="2650"/>
      <c r="H101" s="2651">
        <f t="shared" si="54"/>
        <v>561693.51</v>
      </c>
      <c r="I101" s="2652">
        <v>561693.51</v>
      </c>
      <c r="J101" s="2649"/>
      <c r="K101" s="2649"/>
      <c r="L101" s="2650"/>
      <c r="M101" s="2651">
        <f t="shared" si="55"/>
        <v>561693.51</v>
      </c>
      <c r="N101" s="2652">
        <v>561693.51</v>
      </c>
      <c r="O101" s="2649"/>
      <c r="P101" s="2649"/>
      <c r="Q101" s="2650"/>
      <c r="R101" s="2653">
        <f t="shared" si="56"/>
        <v>561693.51</v>
      </c>
      <c r="S101" s="2652">
        <v>600000</v>
      </c>
      <c r="T101" s="2649">
        <f t="shared" si="51"/>
        <v>0</v>
      </c>
      <c r="U101" s="2654"/>
      <c r="V101" s="2655">
        <f t="shared" si="52"/>
        <v>600000</v>
      </c>
      <c r="W101" s="2652">
        <v>1441590</v>
      </c>
      <c r="X101" s="2649"/>
      <c r="Y101" s="2654"/>
      <c r="Z101" s="2655">
        <f t="shared" si="53"/>
        <v>1441590</v>
      </c>
      <c r="AA101" s="2639">
        <f t="shared" si="43"/>
        <v>240.26499999999999</v>
      </c>
      <c r="AB101" s="1351"/>
      <c r="AC101" s="1351"/>
      <c r="AD101" s="1349">
        <f t="shared" si="42"/>
        <v>0</v>
      </c>
      <c r="AE101" s="209" t="e">
        <f>S101-#REF!</f>
        <v>#REF!</v>
      </c>
    </row>
    <row r="102" spans="1:31" ht="36.75" customHeight="1">
      <c r="A102" s="2686" t="s">
        <v>491</v>
      </c>
      <c r="B102" s="2680"/>
      <c r="C102" s="2685" t="s">
        <v>128</v>
      </c>
      <c r="D102" s="2632">
        <f>SUM(D103:D106)</f>
        <v>0</v>
      </c>
      <c r="E102" s="2634">
        <f>SUM(E103:E106)</f>
        <v>538824.33000000007</v>
      </c>
      <c r="F102" s="2634">
        <f>SUM(F103:F106)</f>
        <v>373098.33</v>
      </c>
      <c r="G102" s="2635">
        <f>SUM(G103:G106)</f>
        <v>0</v>
      </c>
      <c r="H102" s="2636">
        <f>SUM(H103:H105,H106)</f>
        <v>911922.66</v>
      </c>
      <c r="I102" s="2633">
        <f>SUM(I103:I106)</f>
        <v>0</v>
      </c>
      <c r="J102" s="2634">
        <f>SUM(J103:J106)</f>
        <v>616942.14</v>
      </c>
      <c r="K102" s="2634">
        <f>SUM(K103:K106)</f>
        <v>373098.33</v>
      </c>
      <c r="L102" s="2635">
        <f>SUM(L103:L106)</f>
        <v>0</v>
      </c>
      <c r="M102" s="2636">
        <f>SUM(M103:M105,M106)</f>
        <v>990040.47</v>
      </c>
      <c r="N102" s="2633">
        <f>SUM(N103:N106)</f>
        <v>0</v>
      </c>
      <c r="O102" s="2634">
        <f>SUM(O103:O106)</f>
        <v>692629.39</v>
      </c>
      <c r="P102" s="2634">
        <f>SUM(P103:P106)</f>
        <v>373098.33</v>
      </c>
      <c r="Q102" s="2635">
        <f>SUM(Q103:Q106)</f>
        <v>0</v>
      </c>
      <c r="R102" s="2637">
        <f>SUM(R103:R105,R106)</f>
        <v>1065727.72</v>
      </c>
      <c r="S102" s="2633">
        <f>SUM(S103:S106)</f>
        <v>0</v>
      </c>
      <c r="T102" s="2634">
        <f>SUM(T103:T106)</f>
        <v>1293098</v>
      </c>
      <c r="U102" s="2635">
        <f>SUM(U103:U106)</f>
        <v>0</v>
      </c>
      <c r="V102" s="2638">
        <f>SUM(V103:V105,V106)</f>
        <v>1293098</v>
      </c>
      <c r="W102" s="2633">
        <f>SUM(W103:W106)</f>
        <v>0</v>
      </c>
      <c r="X102" s="2634">
        <f>SUM(X103:X106)</f>
        <v>985000</v>
      </c>
      <c r="Y102" s="2635">
        <f>SUM(Y103:Y106)</f>
        <v>0</v>
      </c>
      <c r="Z102" s="2638">
        <f>SUM(Z103:Z105,Z106)</f>
        <v>985000</v>
      </c>
      <c r="AA102" s="2639">
        <f t="shared" si="43"/>
        <v>76.173654278330034</v>
      </c>
      <c r="AB102" s="1351">
        <f>'[1]PRIH REBALANS'!$AK$175</f>
        <v>985000</v>
      </c>
      <c r="AC102" s="1002">
        <f>'[8]PRIH REBALANS'!$AH$175</f>
        <v>985000</v>
      </c>
      <c r="AD102" s="1349">
        <f t="shared" si="42"/>
        <v>0</v>
      </c>
      <c r="AE102" s="209" t="e">
        <f>S102-#REF!</f>
        <v>#REF!</v>
      </c>
    </row>
    <row r="103" spans="1:31" ht="36.75" customHeight="1">
      <c r="A103" s="2629">
        <v>225</v>
      </c>
      <c r="B103" s="2680">
        <v>722531</v>
      </c>
      <c r="C103" s="2681" t="s">
        <v>1408</v>
      </c>
      <c r="D103" s="2648"/>
      <c r="E103" s="2712">
        <v>137386.45000000001</v>
      </c>
      <c r="F103" s="2712"/>
      <c r="G103" s="2650"/>
      <c r="H103" s="2651">
        <f>D103+E103+G103+F103</f>
        <v>137386.45000000001</v>
      </c>
      <c r="I103" s="2652"/>
      <c r="J103" s="2712">
        <v>157543.53</v>
      </c>
      <c r="K103" s="2712"/>
      <c r="L103" s="2650"/>
      <c r="M103" s="2651">
        <f>I103+J103+L103+K103</f>
        <v>157543.53</v>
      </c>
      <c r="N103" s="2652"/>
      <c r="O103" s="2712">
        <v>180110.3</v>
      </c>
      <c r="P103" s="2712"/>
      <c r="Q103" s="2650"/>
      <c r="R103" s="2653">
        <f>N103+O103+Q103+P103</f>
        <v>180110.3</v>
      </c>
      <c r="S103" s="2652">
        <f t="shared" ref="S103" si="57">N103/9*12</f>
        <v>0</v>
      </c>
      <c r="T103" s="2649">
        <v>240000</v>
      </c>
      <c r="U103" s="2713"/>
      <c r="V103" s="2655">
        <f t="shared" si="52"/>
        <v>240000</v>
      </c>
      <c r="W103" s="2652"/>
      <c r="X103" s="1575">
        <v>280000</v>
      </c>
      <c r="Y103" s="2713"/>
      <c r="Z103" s="2655">
        <f t="shared" ref="Z103:Z106" si="58">SUM(W103:Y103)</f>
        <v>280000</v>
      </c>
      <c r="AA103" s="2639">
        <f t="shared" si="43"/>
        <v>116.66666666666667</v>
      </c>
      <c r="AB103" s="1351"/>
      <c r="AC103" s="1351"/>
      <c r="AD103" s="1349">
        <f t="shared" si="42"/>
        <v>0</v>
      </c>
      <c r="AE103" s="209" t="e">
        <f>S103-#REF!</f>
        <v>#REF!</v>
      </c>
    </row>
    <row r="104" spans="1:31" ht="36.75" customHeight="1">
      <c r="A104" s="2629">
        <v>225</v>
      </c>
      <c r="B104" s="2680">
        <v>722532</v>
      </c>
      <c r="C104" s="2681" t="s">
        <v>1409</v>
      </c>
      <c r="D104" s="2648"/>
      <c r="E104" s="2712">
        <v>369837.88</v>
      </c>
      <c r="F104" s="2712"/>
      <c r="G104" s="2650"/>
      <c r="H104" s="2651">
        <f>D104+E104+G104+F104</f>
        <v>369837.88</v>
      </c>
      <c r="I104" s="2652"/>
      <c r="J104" s="2712">
        <v>427548.61</v>
      </c>
      <c r="K104" s="2712"/>
      <c r="L104" s="2650"/>
      <c r="M104" s="2651">
        <f>I104+J104+L104+K104</f>
        <v>427548.61</v>
      </c>
      <c r="N104" s="2652"/>
      <c r="O104" s="2712">
        <v>480419.09</v>
      </c>
      <c r="P104" s="2712"/>
      <c r="Q104" s="2650"/>
      <c r="R104" s="2653">
        <f>N104+O104+Q104+P104</f>
        <v>480419.09</v>
      </c>
      <c r="S104" s="2652"/>
      <c r="T104" s="2649">
        <v>640000</v>
      </c>
      <c r="U104" s="2713"/>
      <c r="V104" s="2655">
        <f t="shared" si="52"/>
        <v>640000</v>
      </c>
      <c r="W104" s="2652"/>
      <c r="X104" s="1575">
        <v>640000</v>
      </c>
      <c r="Y104" s="2713"/>
      <c r="Z104" s="2655">
        <f t="shared" si="58"/>
        <v>640000</v>
      </c>
      <c r="AA104" s="2639">
        <f t="shared" si="43"/>
        <v>100</v>
      </c>
      <c r="AB104" s="1351"/>
      <c r="AC104" s="1351"/>
      <c r="AD104" s="1349">
        <f t="shared" si="42"/>
        <v>0</v>
      </c>
      <c r="AE104" s="209" t="e">
        <f>S104-#REF!</f>
        <v>#REF!</v>
      </c>
    </row>
    <row r="105" spans="1:31" ht="36.75" customHeight="1">
      <c r="A105" s="2629">
        <v>225</v>
      </c>
      <c r="B105" s="2680">
        <v>722565</v>
      </c>
      <c r="C105" s="2681" t="s">
        <v>1410</v>
      </c>
      <c r="D105" s="2648"/>
      <c r="E105" s="2649">
        <v>31600</v>
      </c>
      <c r="F105" s="2649">
        <v>373098.33</v>
      </c>
      <c r="G105" s="2650"/>
      <c r="H105" s="2651">
        <f>D105+E105+G105+F105</f>
        <v>404698.33</v>
      </c>
      <c r="I105" s="2652"/>
      <c r="J105" s="2649">
        <v>31850</v>
      </c>
      <c r="K105" s="2649">
        <v>373098.33</v>
      </c>
      <c r="L105" s="2650"/>
      <c r="M105" s="2651">
        <f>I105+J105+L105+K105</f>
        <v>404948.33</v>
      </c>
      <c r="N105" s="2652"/>
      <c r="O105" s="2649">
        <v>32100</v>
      </c>
      <c r="P105" s="2649">
        <v>373098.33</v>
      </c>
      <c r="Q105" s="2650"/>
      <c r="R105" s="2653">
        <f>N105+O105+Q105+P105</f>
        <v>405198.33</v>
      </c>
      <c r="S105" s="2652"/>
      <c r="T105" s="2649">
        <v>40000</v>
      </c>
      <c r="U105" s="2654"/>
      <c r="V105" s="2655">
        <f t="shared" si="52"/>
        <v>40000</v>
      </c>
      <c r="W105" s="2652"/>
      <c r="X105" s="1575">
        <v>65000</v>
      </c>
      <c r="Y105" s="2654"/>
      <c r="Z105" s="2655">
        <f t="shared" si="58"/>
        <v>65000</v>
      </c>
      <c r="AA105" s="2639">
        <f t="shared" si="43"/>
        <v>162.5</v>
      </c>
      <c r="AB105" s="1351"/>
      <c r="AC105" s="1351"/>
      <c r="AD105" s="1349">
        <f t="shared" si="42"/>
        <v>0</v>
      </c>
      <c r="AE105" s="209" t="e">
        <f>S105-#REF!</f>
        <v>#REF!</v>
      </c>
    </row>
    <row r="106" spans="1:31" ht="36.75" customHeight="1">
      <c r="A106" s="2629">
        <v>225</v>
      </c>
      <c r="B106" s="2680">
        <v>722565</v>
      </c>
      <c r="C106" s="2681" t="s">
        <v>1411</v>
      </c>
      <c r="D106" s="2648"/>
      <c r="E106" s="2667"/>
      <c r="F106" s="2649"/>
      <c r="G106" s="2650"/>
      <c r="H106" s="2651">
        <f>D106+E106+G106+F106</f>
        <v>0</v>
      </c>
      <c r="I106" s="2652"/>
      <c r="J106" s="2667"/>
      <c r="K106" s="2649"/>
      <c r="L106" s="2650"/>
      <c r="M106" s="2651">
        <f>I106+J106+L106+K106</f>
        <v>0</v>
      </c>
      <c r="N106" s="2652"/>
      <c r="O106" s="2667"/>
      <c r="P106" s="2649"/>
      <c r="Q106" s="2650"/>
      <c r="R106" s="2653">
        <f>N106+O106+Q106+P106</f>
        <v>0</v>
      </c>
      <c r="S106" s="2652"/>
      <c r="T106" s="2649">
        <v>373098</v>
      </c>
      <c r="U106" s="2654"/>
      <c r="V106" s="2655">
        <f t="shared" si="52"/>
        <v>373098</v>
      </c>
      <c r="W106" s="2652"/>
      <c r="X106" s="2649"/>
      <c r="Y106" s="2654"/>
      <c r="Z106" s="2655">
        <f t="shared" si="58"/>
        <v>0</v>
      </c>
      <c r="AA106" s="2639">
        <f t="shared" si="43"/>
        <v>0</v>
      </c>
      <c r="AB106" s="1351"/>
      <c r="AC106" s="1351"/>
      <c r="AD106" s="1349">
        <f t="shared" si="42"/>
        <v>0</v>
      </c>
      <c r="AE106" s="209" t="e">
        <f>S106-#REF!</f>
        <v>#REF!</v>
      </c>
    </row>
    <row r="107" spans="1:31" ht="36.75" customHeight="1">
      <c r="A107" s="2714"/>
      <c r="B107" s="2715"/>
      <c r="C107" s="2685" t="s">
        <v>129</v>
      </c>
      <c r="D107" s="2632">
        <f>D108+D110+D111+D112</f>
        <v>0</v>
      </c>
      <c r="E107" s="2634">
        <f>SUM(E108:E112)</f>
        <v>832976.82000000007</v>
      </c>
      <c r="F107" s="2634">
        <f>SUM(F108:F112)</f>
        <v>4012844</v>
      </c>
      <c r="G107" s="2635">
        <f>SUM(G108:G112)</f>
        <v>0</v>
      </c>
      <c r="H107" s="2636">
        <f>SUM(H108:H112)</f>
        <v>4845820.82</v>
      </c>
      <c r="I107" s="2633">
        <f>I108+I110+I111+I112</f>
        <v>0</v>
      </c>
      <c r="J107" s="2634">
        <f>SUM(J108:J112)</f>
        <v>954166.98</v>
      </c>
      <c r="K107" s="2634">
        <f>SUM(K108:K112)</f>
        <v>4012844</v>
      </c>
      <c r="L107" s="2635">
        <f>SUM(L108:L112)</f>
        <v>0</v>
      </c>
      <c r="M107" s="2636">
        <f>SUM(M108:M112)</f>
        <v>4967010.9800000004</v>
      </c>
      <c r="N107" s="2633">
        <f>N108+N110+N111+N112</f>
        <v>0</v>
      </c>
      <c r="O107" s="2634">
        <f>SUM(O108:O112)</f>
        <v>1074658.8299999998</v>
      </c>
      <c r="P107" s="2634">
        <f>SUM(P108:P112)</f>
        <v>4012844</v>
      </c>
      <c r="Q107" s="2635">
        <f>SUM(Q108:Q112)</f>
        <v>0</v>
      </c>
      <c r="R107" s="2637">
        <f>SUM(R108:R112)</f>
        <v>5087502.83</v>
      </c>
      <c r="S107" s="2633">
        <f>S108+S110+S111+S112</f>
        <v>0</v>
      </c>
      <c r="T107" s="2634">
        <f>SUM(T108:T112)</f>
        <v>5452844</v>
      </c>
      <c r="U107" s="2635">
        <f>SUM(U108:U112)</f>
        <v>0</v>
      </c>
      <c r="V107" s="2638">
        <f>SUM(V108:V112)</f>
        <v>5452844</v>
      </c>
      <c r="W107" s="2633">
        <f>W108+W110+W111+W112</f>
        <v>0</v>
      </c>
      <c r="X107" s="2634">
        <f>SUM(X108:X112)</f>
        <v>1447000</v>
      </c>
      <c r="Y107" s="2635">
        <f>SUM(Y108:Y112)</f>
        <v>0</v>
      </c>
      <c r="Z107" s="2638">
        <f>SUM(Z108:Z112)</f>
        <v>1447000</v>
      </c>
      <c r="AA107" s="2639">
        <f t="shared" si="43"/>
        <v>26.53661098685383</v>
      </c>
      <c r="AB107" s="1351">
        <f>'[1]PRIH REBALANS'!$AK$180</f>
        <v>1447000</v>
      </c>
      <c r="AC107" s="1002">
        <f>'[8]PRIH REBALANS'!$AH$180</f>
        <v>1447000</v>
      </c>
      <c r="AD107" s="1349">
        <f t="shared" si="42"/>
        <v>0</v>
      </c>
      <c r="AE107" s="209" t="e">
        <f>S107-#REF!</f>
        <v>#REF!</v>
      </c>
    </row>
    <row r="108" spans="1:31" ht="36.75" customHeight="1">
      <c r="A108" s="2716">
        <v>226</v>
      </c>
      <c r="B108" s="2717">
        <v>722581</v>
      </c>
      <c r="C108" s="2718" t="s">
        <v>1412</v>
      </c>
      <c r="D108" s="2671"/>
      <c r="E108" s="2672">
        <v>755785</v>
      </c>
      <c r="F108" s="2672">
        <v>4012844</v>
      </c>
      <c r="G108" s="2673"/>
      <c r="H108" s="2651">
        <f>D108+E108+G108+F108</f>
        <v>4768629</v>
      </c>
      <c r="I108" s="2674"/>
      <c r="J108" s="2672">
        <v>864601.81</v>
      </c>
      <c r="K108" s="2672">
        <v>4012844</v>
      </c>
      <c r="L108" s="2673"/>
      <c r="M108" s="2651">
        <f>I108+J108+L108+K108</f>
        <v>4877445.8100000005</v>
      </c>
      <c r="N108" s="2674"/>
      <c r="O108" s="2672">
        <v>976531.35</v>
      </c>
      <c r="P108" s="2672">
        <v>4012844</v>
      </c>
      <c r="Q108" s="2673"/>
      <c r="R108" s="2653">
        <f>N108+O108+Q108+P108</f>
        <v>4989375.3499999996</v>
      </c>
      <c r="S108" s="2652">
        <f t="shared" ref="S108" si="59">N108/9*12</f>
        <v>0</v>
      </c>
      <c r="T108" s="2672">
        <v>1305000</v>
      </c>
      <c r="U108" s="2675"/>
      <c r="V108" s="2655">
        <f t="shared" si="52"/>
        <v>1305000</v>
      </c>
      <c r="W108" s="2652"/>
      <c r="X108" s="2719">
        <v>1300000</v>
      </c>
      <c r="Y108" s="2675"/>
      <c r="Z108" s="2655">
        <f t="shared" ref="Z108:Z111" si="60">SUM(W108:Y108)</f>
        <v>1300000</v>
      </c>
      <c r="AA108" s="2639">
        <f t="shared" si="43"/>
        <v>99.616858237547888</v>
      </c>
      <c r="AB108" s="1351"/>
      <c r="AC108" s="1351"/>
      <c r="AD108" s="1349">
        <f t="shared" si="42"/>
        <v>0</v>
      </c>
      <c r="AE108" s="209" t="e">
        <f>S108-#REF!</f>
        <v>#REF!</v>
      </c>
    </row>
    <row r="109" spans="1:31" ht="36.75" customHeight="1">
      <c r="A109" s="2716">
        <v>226</v>
      </c>
      <c r="B109" s="2717">
        <v>722582</v>
      </c>
      <c r="C109" s="2718" t="s">
        <v>1413</v>
      </c>
      <c r="D109" s="2671"/>
      <c r="E109" s="2672"/>
      <c r="F109" s="2672"/>
      <c r="G109" s="2673"/>
      <c r="H109" s="2651">
        <f>D109+E109+G109+F109</f>
        <v>0</v>
      </c>
      <c r="I109" s="2674"/>
      <c r="J109" s="2672"/>
      <c r="K109" s="2672"/>
      <c r="L109" s="2673"/>
      <c r="M109" s="2651">
        <f>I109+J109+L109+K109</f>
        <v>0</v>
      </c>
      <c r="N109" s="2674"/>
      <c r="O109" s="2672"/>
      <c r="P109" s="2672"/>
      <c r="Q109" s="2673"/>
      <c r="R109" s="2653">
        <f>N109+O109+Q109+P109</f>
        <v>0</v>
      </c>
      <c r="S109" s="2674"/>
      <c r="T109" s="2672">
        <v>4012844</v>
      </c>
      <c r="U109" s="2675"/>
      <c r="V109" s="2655">
        <f t="shared" si="52"/>
        <v>4012844</v>
      </c>
      <c r="W109" s="2674"/>
      <c r="X109" s="2672"/>
      <c r="Y109" s="2675"/>
      <c r="Z109" s="2655">
        <f t="shared" si="60"/>
        <v>0</v>
      </c>
      <c r="AA109" s="2639">
        <f t="shared" si="43"/>
        <v>0</v>
      </c>
      <c r="AB109" s="1351"/>
      <c r="AC109" s="1351"/>
      <c r="AD109" s="1349">
        <f t="shared" si="42"/>
        <v>0</v>
      </c>
      <c r="AE109" s="209" t="e">
        <f>S109-#REF!</f>
        <v>#REF!</v>
      </c>
    </row>
    <row r="110" spans="1:31" ht="36.75" customHeight="1">
      <c r="A110" s="2716">
        <v>226</v>
      </c>
      <c r="B110" s="2717">
        <v>722582</v>
      </c>
      <c r="C110" s="2718" t="s">
        <v>1414</v>
      </c>
      <c r="D110" s="2671"/>
      <c r="E110" s="2672">
        <v>60944.05</v>
      </c>
      <c r="F110" s="2672"/>
      <c r="G110" s="2673"/>
      <c r="H110" s="2651">
        <f>D110+E110+G110+F110</f>
        <v>60944.05</v>
      </c>
      <c r="I110" s="2674"/>
      <c r="J110" s="2672">
        <v>67097.08</v>
      </c>
      <c r="K110" s="2672"/>
      <c r="L110" s="2673"/>
      <c r="M110" s="2651">
        <f>I110+J110+L110+K110</f>
        <v>67097.08</v>
      </c>
      <c r="N110" s="2674"/>
      <c r="O110" s="2672">
        <v>74034.539999999994</v>
      </c>
      <c r="P110" s="2672"/>
      <c r="Q110" s="2673"/>
      <c r="R110" s="2653">
        <f>N110+O110+Q110+P110</f>
        <v>74034.539999999994</v>
      </c>
      <c r="S110" s="2674"/>
      <c r="T110" s="2672">
        <v>100000</v>
      </c>
      <c r="U110" s="2675"/>
      <c r="V110" s="2655">
        <f t="shared" si="52"/>
        <v>100000</v>
      </c>
      <c r="W110" s="2674"/>
      <c r="X110" s="2719">
        <v>95000</v>
      </c>
      <c r="Y110" s="2675"/>
      <c r="Z110" s="2655">
        <f t="shared" si="60"/>
        <v>95000</v>
      </c>
      <c r="AA110" s="2639">
        <f t="shared" si="43"/>
        <v>95</v>
      </c>
      <c r="AB110" s="1351"/>
      <c r="AC110" s="1351"/>
      <c r="AD110" s="1349">
        <f t="shared" si="42"/>
        <v>0</v>
      </c>
      <c r="AE110" s="209" t="e">
        <f>S110-#REF!</f>
        <v>#REF!</v>
      </c>
    </row>
    <row r="111" spans="1:31" ht="36.75" customHeight="1">
      <c r="A111" s="2720">
        <v>227</v>
      </c>
      <c r="B111" s="2721" t="s">
        <v>1415</v>
      </c>
      <c r="C111" s="2708" t="s">
        <v>1416</v>
      </c>
      <c r="D111" s="2696"/>
      <c r="E111" s="2709">
        <v>10036.290000000001</v>
      </c>
      <c r="F111" s="2709"/>
      <c r="G111" s="2694"/>
      <c r="H111" s="2651">
        <f>D111+E111+G111+F111</f>
        <v>10036.290000000001</v>
      </c>
      <c r="I111" s="2697"/>
      <c r="J111" s="2709">
        <v>14009.07</v>
      </c>
      <c r="K111" s="2709"/>
      <c r="L111" s="2694"/>
      <c r="M111" s="2651">
        <f>I111+J111+L111+K111</f>
        <v>14009.07</v>
      </c>
      <c r="N111" s="2697"/>
      <c r="O111" s="2709">
        <v>14106.48</v>
      </c>
      <c r="P111" s="2709"/>
      <c r="Q111" s="2694"/>
      <c r="R111" s="2653">
        <f>N111+O111+Q111+P111</f>
        <v>14106.48</v>
      </c>
      <c r="S111" s="2697"/>
      <c r="T111" s="2709">
        <v>20000</v>
      </c>
      <c r="U111" s="2710"/>
      <c r="V111" s="2655">
        <f t="shared" si="52"/>
        <v>20000</v>
      </c>
      <c r="W111" s="2697"/>
      <c r="X111" s="1680">
        <v>32000</v>
      </c>
      <c r="Y111" s="2710"/>
      <c r="Z111" s="2655">
        <f t="shared" si="60"/>
        <v>32000</v>
      </c>
      <c r="AA111" s="2639">
        <f t="shared" si="43"/>
        <v>160</v>
      </c>
      <c r="AB111" s="1351"/>
      <c r="AC111" s="1351"/>
      <c r="AD111" s="1349">
        <f t="shared" si="42"/>
        <v>0</v>
      </c>
      <c r="AE111" s="209" t="e">
        <f>S111-#REF!</f>
        <v>#REF!</v>
      </c>
    </row>
    <row r="112" spans="1:31" ht="36.75" customHeight="1">
      <c r="A112" s="2720">
        <v>227</v>
      </c>
      <c r="B112" s="2721" t="s">
        <v>1417</v>
      </c>
      <c r="C112" s="2708" t="s">
        <v>1418</v>
      </c>
      <c r="D112" s="2696"/>
      <c r="E112" s="2709">
        <v>6211.48</v>
      </c>
      <c r="F112" s="2709"/>
      <c r="G112" s="2694"/>
      <c r="H112" s="2651">
        <f>D112+E112+G112+F112</f>
        <v>6211.48</v>
      </c>
      <c r="I112" s="2697"/>
      <c r="J112" s="2709">
        <v>8459.02</v>
      </c>
      <c r="K112" s="2709"/>
      <c r="L112" s="2694"/>
      <c r="M112" s="2651">
        <f>I112+J112+L112+K112</f>
        <v>8459.02</v>
      </c>
      <c r="N112" s="2697"/>
      <c r="O112" s="2709">
        <v>9986.4599999999991</v>
      </c>
      <c r="P112" s="2709"/>
      <c r="Q112" s="2694"/>
      <c r="R112" s="2653">
        <f>N112+O112+Q112+P112</f>
        <v>9986.4599999999991</v>
      </c>
      <c r="S112" s="2697"/>
      <c r="T112" s="2709">
        <v>15000</v>
      </c>
      <c r="U112" s="2710"/>
      <c r="V112" s="2655">
        <f>SUM(S112:U112)</f>
        <v>15000</v>
      </c>
      <c r="W112" s="2697"/>
      <c r="X112" s="1680">
        <v>20000</v>
      </c>
      <c r="Y112" s="2710"/>
      <c r="Z112" s="2655">
        <f>SUM(W112:Y112)</f>
        <v>20000</v>
      </c>
      <c r="AA112" s="2639">
        <f t="shared" si="43"/>
        <v>133.33333333333331</v>
      </c>
      <c r="AB112" s="1351"/>
      <c r="AC112" s="1351"/>
      <c r="AD112" s="1349">
        <f t="shared" si="42"/>
        <v>0</v>
      </c>
      <c r="AE112" s="209" t="e">
        <f>S112-#REF!</f>
        <v>#REF!</v>
      </c>
    </row>
    <row r="113" spans="1:31" ht="36.75" customHeight="1">
      <c r="A113" s="2722"/>
      <c r="B113" s="2723">
        <v>722500</v>
      </c>
      <c r="C113" s="2685" t="s">
        <v>1419</v>
      </c>
      <c r="D113" s="2632">
        <f>SUM(D114:D115)</f>
        <v>5866.16</v>
      </c>
      <c r="E113" s="2634">
        <f t="shared" ref="E113:H113" si="61">SUM(E114:E115)</f>
        <v>0</v>
      </c>
      <c r="F113" s="2634">
        <f t="shared" si="61"/>
        <v>0</v>
      </c>
      <c r="G113" s="2635">
        <f t="shared" si="61"/>
        <v>0</v>
      </c>
      <c r="H113" s="2636">
        <f t="shared" si="61"/>
        <v>5866.16</v>
      </c>
      <c r="I113" s="2633">
        <f>SUM(I114:I115)</f>
        <v>6444.11</v>
      </c>
      <c r="J113" s="2634">
        <f t="shared" ref="J113:M113" si="62">SUM(J114:J115)</f>
        <v>0</v>
      </c>
      <c r="K113" s="2634">
        <f t="shared" si="62"/>
        <v>0</v>
      </c>
      <c r="L113" s="2635">
        <f t="shared" si="62"/>
        <v>0</v>
      </c>
      <c r="M113" s="2636">
        <f t="shared" si="62"/>
        <v>6444.11</v>
      </c>
      <c r="N113" s="2633">
        <f>SUM(N114:N115)</f>
        <v>7209.41</v>
      </c>
      <c r="O113" s="2634">
        <f t="shared" ref="O113:R113" si="63">SUM(O114:O115)</f>
        <v>0</v>
      </c>
      <c r="P113" s="2634">
        <f t="shared" si="63"/>
        <v>0</v>
      </c>
      <c r="Q113" s="2635">
        <f t="shared" si="63"/>
        <v>0</v>
      </c>
      <c r="R113" s="2637">
        <f t="shared" si="63"/>
        <v>7209.41</v>
      </c>
      <c r="S113" s="2633">
        <f>SUM(S114:S115)</f>
        <v>10009.6</v>
      </c>
      <c r="T113" s="2634">
        <f t="shared" ref="T113:V113" si="64">SUM(T114:T115)</f>
        <v>0</v>
      </c>
      <c r="U113" s="2635">
        <f t="shared" si="64"/>
        <v>0</v>
      </c>
      <c r="V113" s="2638">
        <f t="shared" si="64"/>
        <v>10009.6</v>
      </c>
      <c r="W113" s="2633">
        <f>SUM(W114:W115)</f>
        <v>10020</v>
      </c>
      <c r="X113" s="2634">
        <f t="shared" ref="X113:Z113" si="65">SUM(X114:X115)</f>
        <v>0</v>
      </c>
      <c r="Y113" s="2635">
        <f t="shared" si="65"/>
        <v>0</v>
      </c>
      <c r="Z113" s="2638">
        <f t="shared" si="65"/>
        <v>10020</v>
      </c>
      <c r="AA113" s="2639">
        <f t="shared" si="43"/>
        <v>100.10390025575447</v>
      </c>
      <c r="AB113" s="1351">
        <f>'[1]PRIH REBALANS'!$AK$186</f>
        <v>10020</v>
      </c>
      <c r="AC113" s="1002"/>
      <c r="AD113" s="1349">
        <f t="shared" si="42"/>
        <v>0</v>
      </c>
      <c r="AE113" s="209" t="e">
        <f>S113-#REF!</f>
        <v>#REF!</v>
      </c>
    </row>
    <row r="114" spans="1:31" ht="36.75" customHeight="1">
      <c r="A114" s="2724" t="s">
        <v>319</v>
      </c>
      <c r="B114" s="2725">
        <v>722515</v>
      </c>
      <c r="C114" s="2726" t="s">
        <v>130</v>
      </c>
      <c r="D114" s="2648">
        <v>5858.96</v>
      </c>
      <c r="E114" s="2649"/>
      <c r="F114" s="2649"/>
      <c r="G114" s="2650"/>
      <c r="H114" s="2651">
        <f>SUM(D114:G114)</f>
        <v>5858.96</v>
      </c>
      <c r="I114" s="2652">
        <v>6436.91</v>
      </c>
      <c r="J114" s="2649"/>
      <c r="K114" s="2649"/>
      <c r="L114" s="2650"/>
      <c r="M114" s="2651">
        <f>SUM(I114:L114)</f>
        <v>6436.91</v>
      </c>
      <c r="N114" s="2652">
        <v>7202.21</v>
      </c>
      <c r="O114" s="2649"/>
      <c r="P114" s="2649"/>
      <c r="Q114" s="2650"/>
      <c r="R114" s="2653">
        <f>SUM(N114:Q114)</f>
        <v>7202.21</v>
      </c>
      <c r="S114" s="2652">
        <v>10000</v>
      </c>
      <c r="T114" s="2649"/>
      <c r="U114" s="2654"/>
      <c r="V114" s="2655">
        <f>SUM(S114:U114)</f>
        <v>10000</v>
      </c>
      <c r="W114" s="2656">
        <v>10000</v>
      </c>
      <c r="X114" s="2649"/>
      <c r="Y114" s="2654"/>
      <c r="Z114" s="2655">
        <f>SUM(W114:Y114)</f>
        <v>10000</v>
      </c>
      <c r="AA114" s="2639">
        <f t="shared" si="43"/>
        <v>100</v>
      </c>
      <c r="AB114" s="1351"/>
      <c r="AC114" s="1351"/>
      <c r="AD114" s="1349">
        <f t="shared" si="42"/>
        <v>0</v>
      </c>
      <c r="AE114" s="209" t="e">
        <f>S114-#REF!</f>
        <v>#REF!</v>
      </c>
    </row>
    <row r="115" spans="1:31" ht="36.75" customHeight="1">
      <c r="A115" s="2724" t="s">
        <v>319</v>
      </c>
      <c r="B115" s="2727">
        <v>722516</v>
      </c>
      <c r="C115" s="2681" t="s">
        <v>131</v>
      </c>
      <c r="D115" s="2648">
        <v>7.2</v>
      </c>
      <c r="E115" s="2649"/>
      <c r="F115" s="2649"/>
      <c r="G115" s="2650"/>
      <c r="H115" s="2651">
        <f>SUM(D115:G115)</f>
        <v>7.2</v>
      </c>
      <c r="I115" s="2652">
        <v>7.2</v>
      </c>
      <c r="J115" s="2649"/>
      <c r="K115" s="2649"/>
      <c r="L115" s="2650"/>
      <c r="M115" s="2651">
        <f>SUM(I115:L115)</f>
        <v>7.2</v>
      </c>
      <c r="N115" s="2652">
        <v>7.2</v>
      </c>
      <c r="O115" s="2649"/>
      <c r="P115" s="2649"/>
      <c r="Q115" s="2650"/>
      <c r="R115" s="2653">
        <f>SUM(N115:Q115)</f>
        <v>7.2</v>
      </c>
      <c r="S115" s="2652">
        <f t="shared" ref="S115" si="66">N115/9*12</f>
        <v>9.6000000000000014</v>
      </c>
      <c r="T115" s="2649"/>
      <c r="U115" s="2654"/>
      <c r="V115" s="2655">
        <f>SUM(S115:U115)</f>
        <v>9.6000000000000014</v>
      </c>
      <c r="W115" s="2656">
        <v>20</v>
      </c>
      <c r="X115" s="2649"/>
      <c r="Y115" s="2654"/>
      <c r="Z115" s="2655">
        <f>SUM(W115:Y115)</f>
        <v>20</v>
      </c>
      <c r="AA115" s="2639">
        <f t="shared" si="43"/>
        <v>208.33333333333331</v>
      </c>
      <c r="AB115" s="1351"/>
      <c r="AC115" s="1351"/>
      <c r="AD115" s="1349">
        <f t="shared" si="42"/>
        <v>0</v>
      </c>
      <c r="AE115" s="209" t="e">
        <f>S115-#REF!</f>
        <v>#REF!</v>
      </c>
    </row>
    <row r="116" spans="1:31" ht="36.75" customHeight="1">
      <c r="A116" s="2686">
        <v>111</v>
      </c>
      <c r="B116" s="2698">
        <v>722600</v>
      </c>
      <c r="C116" s="2685" t="s">
        <v>132</v>
      </c>
      <c r="D116" s="2632">
        <f t="shared" ref="D116:V116" si="67">SUM(D117:D122)</f>
        <v>233065.4</v>
      </c>
      <c r="E116" s="2634">
        <f t="shared" si="67"/>
        <v>0</v>
      </c>
      <c r="F116" s="2634">
        <f t="shared" si="67"/>
        <v>0</v>
      </c>
      <c r="G116" s="2635">
        <f t="shared" si="67"/>
        <v>0</v>
      </c>
      <c r="H116" s="2636">
        <f t="shared" si="67"/>
        <v>233065.4</v>
      </c>
      <c r="I116" s="2633">
        <f t="shared" si="67"/>
        <v>248733.58</v>
      </c>
      <c r="J116" s="2634">
        <f t="shared" si="67"/>
        <v>0</v>
      </c>
      <c r="K116" s="2634">
        <f t="shared" si="67"/>
        <v>0</v>
      </c>
      <c r="L116" s="2635">
        <f t="shared" si="67"/>
        <v>0</v>
      </c>
      <c r="M116" s="2636">
        <f t="shared" si="67"/>
        <v>248733.58</v>
      </c>
      <c r="N116" s="2633">
        <f t="shared" si="67"/>
        <v>275511.58</v>
      </c>
      <c r="O116" s="2634">
        <f t="shared" si="67"/>
        <v>0</v>
      </c>
      <c r="P116" s="2634">
        <f t="shared" si="67"/>
        <v>0</v>
      </c>
      <c r="Q116" s="2635">
        <f t="shared" si="67"/>
        <v>0</v>
      </c>
      <c r="R116" s="2637">
        <f t="shared" si="67"/>
        <v>275511.58</v>
      </c>
      <c r="S116" s="2633">
        <f t="shared" si="67"/>
        <v>341350</v>
      </c>
      <c r="T116" s="2634">
        <f t="shared" si="67"/>
        <v>0</v>
      </c>
      <c r="U116" s="2635">
        <f t="shared" si="67"/>
        <v>0</v>
      </c>
      <c r="V116" s="2638">
        <f t="shared" si="67"/>
        <v>341350</v>
      </c>
      <c r="W116" s="2633">
        <f t="shared" ref="W116:Z116" si="68">SUM(W117:W122)</f>
        <v>336300</v>
      </c>
      <c r="X116" s="2634">
        <f t="shared" si="68"/>
        <v>0</v>
      </c>
      <c r="Y116" s="2635">
        <f t="shared" si="68"/>
        <v>0</v>
      </c>
      <c r="Z116" s="2638">
        <f t="shared" si="68"/>
        <v>336300</v>
      </c>
      <c r="AA116" s="2639">
        <f t="shared" si="43"/>
        <v>98.520580049802248</v>
      </c>
      <c r="AB116" s="1351">
        <f>'[1]PRIH REBALANS'!$AK$189</f>
        <v>336300</v>
      </c>
      <c r="AC116" s="1002"/>
      <c r="AD116" s="1349">
        <f t="shared" si="42"/>
        <v>0</v>
      </c>
      <c r="AE116" s="209" t="e">
        <f>S116-#REF!</f>
        <v>#REF!</v>
      </c>
    </row>
    <row r="117" spans="1:31" ht="36.75" customHeight="1">
      <c r="A117" s="2629">
        <v>111</v>
      </c>
      <c r="B117" s="2680">
        <v>722611</v>
      </c>
      <c r="C117" s="2681" t="s">
        <v>133</v>
      </c>
      <c r="D117" s="2648">
        <v>213539</v>
      </c>
      <c r="E117" s="2649"/>
      <c r="F117" s="2649"/>
      <c r="G117" s="2650"/>
      <c r="H117" s="2651">
        <f t="shared" ref="H117:H122" si="69">SUM(D117:G117)</f>
        <v>213539</v>
      </c>
      <c r="I117" s="2652">
        <v>226679</v>
      </c>
      <c r="J117" s="2649"/>
      <c r="K117" s="2649"/>
      <c r="L117" s="2650"/>
      <c r="M117" s="2651">
        <f t="shared" ref="M117:M122" si="70">SUM(I117:L117)</f>
        <v>226679</v>
      </c>
      <c r="N117" s="2652">
        <v>249795</v>
      </c>
      <c r="O117" s="2649"/>
      <c r="P117" s="2649"/>
      <c r="Q117" s="2650"/>
      <c r="R117" s="2653">
        <f t="shared" ref="R117:R122" si="71">SUM(N117:Q117)</f>
        <v>249795</v>
      </c>
      <c r="S117" s="2652">
        <v>306000</v>
      </c>
      <c r="T117" s="2649"/>
      <c r="U117" s="2654"/>
      <c r="V117" s="2655">
        <f t="shared" ref="V117:V122" si="72">SUM(S117:U117)</f>
        <v>306000</v>
      </c>
      <c r="W117" s="2656">
        <v>300000</v>
      </c>
      <c r="X117" s="2649"/>
      <c r="Y117" s="2654"/>
      <c r="Z117" s="2655">
        <f t="shared" ref="Z117:Z122" si="73">SUM(W117:Y117)</f>
        <v>300000</v>
      </c>
      <c r="AA117" s="2639">
        <f t="shared" si="43"/>
        <v>98.039215686274503</v>
      </c>
      <c r="AB117" s="1351"/>
      <c r="AC117" s="1351"/>
      <c r="AD117" s="1349">
        <f t="shared" si="42"/>
        <v>0</v>
      </c>
      <c r="AE117" s="209" t="e">
        <f>S117-#REF!</f>
        <v>#REF!</v>
      </c>
    </row>
    <row r="118" spans="1:31" ht="36.75" customHeight="1">
      <c r="A118" s="2629">
        <v>111</v>
      </c>
      <c r="B118" s="2680">
        <v>722631</v>
      </c>
      <c r="C118" s="2681" t="s">
        <v>134</v>
      </c>
      <c r="D118" s="2648">
        <v>19352.82</v>
      </c>
      <c r="E118" s="2649"/>
      <c r="F118" s="2649"/>
      <c r="G118" s="2650"/>
      <c r="H118" s="2651">
        <f t="shared" si="69"/>
        <v>19352.82</v>
      </c>
      <c r="I118" s="2652">
        <v>21881</v>
      </c>
      <c r="J118" s="2649"/>
      <c r="K118" s="2649"/>
      <c r="L118" s="2650"/>
      <c r="M118" s="2651">
        <f t="shared" si="70"/>
        <v>21881</v>
      </c>
      <c r="N118" s="2652">
        <v>25465</v>
      </c>
      <c r="O118" s="2649"/>
      <c r="P118" s="2649"/>
      <c r="Q118" s="2650"/>
      <c r="R118" s="2653">
        <f t="shared" si="71"/>
        <v>25465</v>
      </c>
      <c r="S118" s="2652">
        <v>35000</v>
      </c>
      <c r="T118" s="2649"/>
      <c r="U118" s="2654"/>
      <c r="V118" s="2655">
        <f t="shared" si="72"/>
        <v>35000</v>
      </c>
      <c r="W118" s="2656">
        <v>35000</v>
      </c>
      <c r="X118" s="2649"/>
      <c r="Y118" s="2654"/>
      <c r="Z118" s="2655">
        <f t="shared" si="73"/>
        <v>35000</v>
      </c>
      <c r="AA118" s="2639">
        <f t="shared" si="43"/>
        <v>100</v>
      </c>
      <c r="AB118" s="1351"/>
      <c r="AC118" s="1351"/>
      <c r="AD118" s="1349">
        <f t="shared" si="42"/>
        <v>0</v>
      </c>
      <c r="AE118" s="209" t="e">
        <f>S118-#REF!</f>
        <v>#REF!</v>
      </c>
    </row>
    <row r="119" spans="1:31" ht="36.75" customHeight="1">
      <c r="A119" s="2629">
        <v>111</v>
      </c>
      <c r="B119" s="2680">
        <v>722631</v>
      </c>
      <c r="C119" s="2681" t="s">
        <v>135</v>
      </c>
      <c r="D119" s="2648">
        <v>73.58</v>
      </c>
      <c r="E119" s="2649"/>
      <c r="F119" s="2649"/>
      <c r="G119" s="2650"/>
      <c r="H119" s="2651">
        <f t="shared" si="69"/>
        <v>73.58</v>
      </c>
      <c r="I119" s="2652">
        <v>73.58</v>
      </c>
      <c r="J119" s="2649"/>
      <c r="K119" s="2649"/>
      <c r="L119" s="2650"/>
      <c r="M119" s="2651">
        <f t="shared" si="70"/>
        <v>73.58</v>
      </c>
      <c r="N119" s="2652">
        <v>73.58</v>
      </c>
      <c r="O119" s="2649"/>
      <c r="P119" s="2649"/>
      <c r="Q119" s="2650"/>
      <c r="R119" s="2653">
        <f t="shared" si="71"/>
        <v>73.58</v>
      </c>
      <c r="S119" s="2652">
        <v>100</v>
      </c>
      <c r="T119" s="2649"/>
      <c r="U119" s="2654"/>
      <c r="V119" s="2655">
        <f t="shared" si="72"/>
        <v>100</v>
      </c>
      <c r="W119" s="2656">
        <v>100</v>
      </c>
      <c r="X119" s="2649"/>
      <c r="Y119" s="2654"/>
      <c r="Z119" s="2655">
        <f t="shared" si="73"/>
        <v>100</v>
      </c>
      <c r="AA119" s="2639">
        <f t="shared" si="43"/>
        <v>100</v>
      </c>
      <c r="AB119" s="1351"/>
      <c r="AC119" s="1351"/>
      <c r="AD119" s="1349">
        <f t="shared" si="42"/>
        <v>0</v>
      </c>
      <c r="AE119" s="209" t="e">
        <f>S119-#REF!</f>
        <v>#REF!</v>
      </c>
    </row>
    <row r="120" spans="1:31" ht="36.75" customHeight="1">
      <c r="A120" s="2629"/>
      <c r="B120" s="2680"/>
      <c r="C120" s="2681" t="s">
        <v>1420</v>
      </c>
      <c r="D120" s="2648"/>
      <c r="E120" s="2667"/>
      <c r="F120" s="2649"/>
      <c r="G120" s="2650"/>
      <c r="H120" s="2651">
        <f t="shared" si="69"/>
        <v>0</v>
      </c>
      <c r="I120" s="2652"/>
      <c r="J120" s="2667"/>
      <c r="K120" s="2649"/>
      <c r="L120" s="2650"/>
      <c r="M120" s="2651">
        <f t="shared" si="70"/>
        <v>0</v>
      </c>
      <c r="N120" s="2652"/>
      <c r="O120" s="2667"/>
      <c r="P120" s="2649"/>
      <c r="Q120" s="2650"/>
      <c r="R120" s="2653">
        <f t="shared" si="71"/>
        <v>0</v>
      </c>
      <c r="S120" s="2652">
        <f t="shared" ref="S120" si="74">N120/9*12</f>
        <v>0</v>
      </c>
      <c r="T120" s="2649"/>
      <c r="U120" s="2654"/>
      <c r="V120" s="2655">
        <f t="shared" si="72"/>
        <v>0</v>
      </c>
      <c r="W120" s="2656">
        <f t="shared" ref="W120" si="75">R120/9*12</f>
        <v>0</v>
      </c>
      <c r="X120" s="2649"/>
      <c r="Y120" s="2654"/>
      <c r="Z120" s="2655">
        <f t="shared" si="73"/>
        <v>0</v>
      </c>
      <c r="AA120" s="2639"/>
      <c r="AB120" s="1351"/>
      <c r="AC120" s="1351"/>
      <c r="AD120" s="1349">
        <f t="shared" si="42"/>
        <v>0</v>
      </c>
      <c r="AE120" s="209" t="e">
        <f>S120-#REF!</f>
        <v>#REF!</v>
      </c>
    </row>
    <row r="121" spans="1:31" ht="36.75" customHeight="1">
      <c r="A121" s="2629">
        <v>111</v>
      </c>
      <c r="B121" s="2680">
        <v>722631</v>
      </c>
      <c r="C121" s="2681" t="s">
        <v>136</v>
      </c>
      <c r="D121" s="2648">
        <v>100</v>
      </c>
      <c r="E121" s="2649"/>
      <c r="F121" s="2649"/>
      <c r="G121" s="2650"/>
      <c r="H121" s="2651">
        <f t="shared" si="69"/>
        <v>100</v>
      </c>
      <c r="I121" s="2652">
        <v>100</v>
      </c>
      <c r="J121" s="2649"/>
      <c r="K121" s="2649"/>
      <c r="L121" s="2650"/>
      <c r="M121" s="2651">
        <f t="shared" si="70"/>
        <v>100</v>
      </c>
      <c r="N121" s="2652">
        <v>100</v>
      </c>
      <c r="O121" s="2649"/>
      <c r="P121" s="2649"/>
      <c r="Q121" s="2650"/>
      <c r="R121" s="2653">
        <f t="shared" si="71"/>
        <v>100</v>
      </c>
      <c r="S121" s="2652">
        <v>150</v>
      </c>
      <c r="T121" s="2649"/>
      <c r="U121" s="2654"/>
      <c r="V121" s="2655">
        <f t="shared" si="72"/>
        <v>150</v>
      </c>
      <c r="W121" s="2656">
        <v>200</v>
      </c>
      <c r="X121" s="2649"/>
      <c r="Y121" s="2654"/>
      <c r="Z121" s="2655">
        <f t="shared" si="73"/>
        <v>200</v>
      </c>
      <c r="AA121" s="2639">
        <f t="shared" si="43"/>
        <v>133.33333333333331</v>
      </c>
      <c r="AB121" s="1351"/>
      <c r="AC121" s="1351"/>
      <c r="AD121" s="1349">
        <f t="shared" si="42"/>
        <v>0</v>
      </c>
      <c r="AE121" s="209" t="e">
        <f>S121-#REF!</f>
        <v>#REF!</v>
      </c>
    </row>
    <row r="122" spans="1:31" ht="36.75" customHeight="1">
      <c r="A122" s="2629">
        <v>111</v>
      </c>
      <c r="B122" s="2680">
        <v>722631</v>
      </c>
      <c r="C122" s="2681" t="s">
        <v>137</v>
      </c>
      <c r="D122" s="2648"/>
      <c r="E122" s="2649"/>
      <c r="F122" s="2649"/>
      <c r="G122" s="2650"/>
      <c r="H122" s="2651">
        <f t="shared" si="69"/>
        <v>0</v>
      </c>
      <c r="I122" s="2652"/>
      <c r="J122" s="2649"/>
      <c r="K122" s="2649"/>
      <c r="L122" s="2650"/>
      <c r="M122" s="2651">
        <f t="shared" si="70"/>
        <v>0</v>
      </c>
      <c r="N122" s="2652">
        <v>78</v>
      </c>
      <c r="O122" s="2649"/>
      <c r="P122" s="2649"/>
      <c r="Q122" s="2650"/>
      <c r="R122" s="2653">
        <f t="shared" si="71"/>
        <v>78</v>
      </c>
      <c r="S122" s="2652">
        <v>100</v>
      </c>
      <c r="T122" s="2649"/>
      <c r="U122" s="2654"/>
      <c r="V122" s="2655">
        <f t="shared" si="72"/>
        <v>100</v>
      </c>
      <c r="W122" s="2656">
        <v>1000</v>
      </c>
      <c r="X122" s="2649"/>
      <c r="Y122" s="2654"/>
      <c r="Z122" s="2655">
        <f t="shared" si="73"/>
        <v>1000</v>
      </c>
      <c r="AA122" s="2639">
        <f t="shared" si="43"/>
        <v>1000</v>
      </c>
      <c r="AB122" s="1351"/>
      <c r="AC122" s="1351"/>
      <c r="AD122" s="1349">
        <f t="shared" si="42"/>
        <v>0</v>
      </c>
      <c r="AE122" s="209" t="e">
        <f>S122-#REF!</f>
        <v>#REF!</v>
      </c>
    </row>
    <row r="123" spans="1:31" ht="36.75" customHeight="1">
      <c r="A123" s="2686"/>
      <c r="B123" s="2698">
        <v>722700</v>
      </c>
      <c r="C123" s="2685" t="s">
        <v>138</v>
      </c>
      <c r="D123" s="2632">
        <f t="shared" ref="D123:R123" si="76">SUM(D124:D126)</f>
        <v>4620911.41</v>
      </c>
      <c r="E123" s="2634">
        <f t="shared" si="76"/>
        <v>0</v>
      </c>
      <c r="F123" s="2634">
        <f t="shared" si="76"/>
        <v>204247</v>
      </c>
      <c r="G123" s="2635">
        <f t="shared" si="76"/>
        <v>0</v>
      </c>
      <c r="H123" s="2636">
        <f t="shared" si="76"/>
        <v>4825158.41</v>
      </c>
      <c r="I123" s="2633">
        <f t="shared" si="76"/>
        <v>4622291.26</v>
      </c>
      <c r="J123" s="2634">
        <f t="shared" si="76"/>
        <v>0</v>
      </c>
      <c r="K123" s="2634">
        <f t="shared" si="76"/>
        <v>204247</v>
      </c>
      <c r="L123" s="2635">
        <f t="shared" si="76"/>
        <v>0</v>
      </c>
      <c r="M123" s="2636">
        <f t="shared" si="76"/>
        <v>4826538.26</v>
      </c>
      <c r="N123" s="2633">
        <f t="shared" si="76"/>
        <v>4634462.5</v>
      </c>
      <c r="O123" s="2634">
        <f t="shared" si="76"/>
        <v>0</v>
      </c>
      <c r="P123" s="2634">
        <f t="shared" si="76"/>
        <v>204247</v>
      </c>
      <c r="Q123" s="2635">
        <f t="shared" si="76"/>
        <v>0</v>
      </c>
      <c r="R123" s="2637">
        <f t="shared" si="76"/>
        <v>4838709.5</v>
      </c>
      <c r="S123" s="2633">
        <f>SUM(S124:S127)</f>
        <v>4720000</v>
      </c>
      <c r="T123" s="2634">
        <f t="shared" ref="T123:U123" si="77">SUM(T124:T127)</f>
        <v>204247</v>
      </c>
      <c r="U123" s="2635">
        <f t="shared" si="77"/>
        <v>0</v>
      </c>
      <c r="V123" s="2638">
        <f>SUM(V124:V127)</f>
        <v>4924247</v>
      </c>
      <c r="W123" s="2633">
        <f>SUM(W124:W127)</f>
        <v>225000</v>
      </c>
      <c r="X123" s="2634">
        <f t="shared" ref="X123:Y123" si="78">SUM(X124:X127)</f>
        <v>0</v>
      </c>
      <c r="Y123" s="2635">
        <f t="shared" si="78"/>
        <v>0</v>
      </c>
      <c r="Z123" s="2638">
        <f>SUM(Z124:Z127)</f>
        <v>225000</v>
      </c>
      <c r="AA123" s="2639">
        <f t="shared" si="43"/>
        <v>4.5692265233648923</v>
      </c>
      <c r="AB123" s="1351">
        <f>'[1]PRIH REBALANS'!$AK$196</f>
        <v>225000</v>
      </c>
      <c r="AC123" s="1002"/>
      <c r="AD123" s="1349">
        <f t="shared" si="42"/>
        <v>0</v>
      </c>
      <c r="AE123" s="209" t="e">
        <f>S123-#REF!</f>
        <v>#REF!</v>
      </c>
    </row>
    <row r="124" spans="1:31" ht="36.75" hidden="1" customHeight="1">
      <c r="A124" s="2686" t="s">
        <v>319</v>
      </c>
      <c r="B124" s="2680">
        <v>722719</v>
      </c>
      <c r="C124" s="2681" t="s">
        <v>139</v>
      </c>
      <c r="D124" s="2648"/>
      <c r="E124" s="2649"/>
      <c r="F124" s="2649"/>
      <c r="G124" s="2650"/>
      <c r="H124" s="2651">
        <f>SUM(D124:G124)</f>
        <v>0</v>
      </c>
      <c r="I124" s="2652"/>
      <c r="J124" s="2649"/>
      <c r="K124" s="2649"/>
      <c r="L124" s="2650"/>
      <c r="M124" s="2651">
        <f>SUM(I124:L124)</f>
        <v>0</v>
      </c>
      <c r="N124" s="2652"/>
      <c r="O124" s="2649"/>
      <c r="P124" s="2649"/>
      <c r="Q124" s="2650"/>
      <c r="R124" s="2653">
        <f>SUM(N124:Q124)</f>
        <v>0</v>
      </c>
      <c r="S124" s="2652">
        <f t="shared" ref="S124" si="79">N124/9*12</f>
        <v>0</v>
      </c>
      <c r="T124" s="2649"/>
      <c r="U124" s="2654"/>
      <c r="V124" s="2655">
        <f>SUM(S124:U124)</f>
        <v>0</v>
      </c>
      <c r="W124" s="2652">
        <f t="shared" ref="W124" si="80">R124/9*12</f>
        <v>0</v>
      </c>
      <c r="X124" s="2649"/>
      <c r="Y124" s="2654"/>
      <c r="Z124" s="2655">
        <f>SUM(W124:Y124)</f>
        <v>0</v>
      </c>
      <c r="AA124" s="2639" t="e">
        <f t="shared" si="43"/>
        <v>#DIV/0!</v>
      </c>
      <c r="AB124" s="1351"/>
      <c r="AC124" s="1351"/>
      <c r="AD124" s="1349">
        <f t="shared" si="42"/>
        <v>0</v>
      </c>
      <c r="AE124" s="209" t="e">
        <f>S124-#REF!</f>
        <v>#REF!</v>
      </c>
    </row>
    <row r="125" spans="1:31" ht="36.75" customHeight="1">
      <c r="A125" s="2686" t="s">
        <v>319</v>
      </c>
      <c r="B125" s="2680">
        <v>722732</v>
      </c>
      <c r="C125" s="2681" t="s">
        <v>140</v>
      </c>
      <c r="D125" s="2648">
        <v>7432.26</v>
      </c>
      <c r="E125" s="2649"/>
      <c r="F125" s="2649"/>
      <c r="G125" s="2650"/>
      <c r="H125" s="2651">
        <f>SUM(D125:G125)</f>
        <v>7432.26</v>
      </c>
      <c r="I125" s="2652">
        <v>7432.26</v>
      </c>
      <c r="J125" s="2649"/>
      <c r="K125" s="2649"/>
      <c r="L125" s="2650"/>
      <c r="M125" s="2651">
        <f>SUM(I125:L125)</f>
        <v>7432.26</v>
      </c>
      <c r="N125" s="2652">
        <v>12860.56</v>
      </c>
      <c r="O125" s="2649"/>
      <c r="P125" s="2649"/>
      <c r="Q125" s="2650"/>
      <c r="R125" s="2653">
        <f>SUM(N125:Q125)</f>
        <v>12860.56</v>
      </c>
      <c r="S125" s="2652">
        <v>20000</v>
      </c>
      <c r="T125" s="2649"/>
      <c r="U125" s="2654"/>
      <c r="V125" s="2655">
        <f>SUM(S125:U125)</f>
        <v>20000</v>
      </c>
      <c r="W125" s="2656">
        <v>5000</v>
      </c>
      <c r="X125" s="2649"/>
      <c r="Y125" s="2654"/>
      <c r="Z125" s="2655">
        <f>SUM(W125:Y125)</f>
        <v>5000</v>
      </c>
      <c r="AA125" s="2639">
        <f t="shared" si="43"/>
        <v>25</v>
      </c>
      <c r="AB125" s="1351"/>
      <c r="AC125" s="1351"/>
      <c r="AD125" s="1349">
        <f t="shared" si="42"/>
        <v>0</v>
      </c>
      <c r="AE125" s="209" t="e">
        <f>S125-#REF!</f>
        <v>#REF!</v>
      </c>
    </row>
    <row r="126" spans="1:31" ht="36.75" customHeight="1">
      <c r="A126" s="2686" t="s">
        <v>319</v>
      </c>
      <c r="B126" s="2680">
        <v>722791</v>
      </c>
      <c r="C126" s="2681" t="s">
        <v>141</v>
      </c>
      <c r="D126" s="2696">
        <v>4613479.1500000004</v>
      </c>
      <c r="E126" s="2667"/>
      <c r="F126" s="2649">
        <v>204247</v>
      </c>
      <c r="G126" s="2650"/>
      <c r="H126" s="2651">
        <f>SUM(D126:G126)</f>
        <v>4817726.1500000004</v>
      </c>
      <c r="I126" s="2697">
        <v>4614859</v>
      </c>
      <c r="J126" s="2667"/>
      <c r="K126" s="2649">
        <v>204247</v>
      </c>
      <c r="L126" s="2650"/>
      <c r="M126" s="2651">
        <f>SUM(I126:L126)</f>
        <v>4819106</v>
      </c>
      <c r="N126" s="2697">
        <v>4621601.9400000004</v>
      </c>
      <c r="O126" s="2667"/>
      <c r="P126" s="2649">
        <v>204247</v>
      </c>
      <c r="Q126" s="2650"/>
      <c r="R126" s="2653">
        <f>SUM(N126:Q126)</f>
        <v>4825848.9400000004</v>
      </c>
      <c r="S126" s="2652">
        <v>4700000</v>
      </c>
      <c r="T126" s="2649"/>
      <c r="U126" s="2654"/>
      <c r="V126" s="2655">
        <f>SUM(S126:U126)</f>
        <v>4700000</v>
      </c>
      <c r="W126" s="2656">
        <v>20000</v>
      </c>
      <c r="X126" s="2649"/>
      <c r="Y126" s="2654"/>
      <c r="Z126" s="2655">
        <f>SUM(W126:Y126)</f>
        <v>20000</v>
      </c>
      <c r="AA126" s="2639">
        <f t="shared" si="43"/>
        <v>0.42553191489361702</v>
      </c>
      <c r="AB126" s="1351"/>
      <c r="AC126" s="1351"/>
      <c r="AD126" s="1349">
        <f t="shared" si="42"/>
        <v>0</v>
      </c>
      <c r="AE126" s="209" t="e">
        <f>S126-#REF!</f>
        <v>#REF!</v>
      </c>
    </row>
    <row r="127" spans="1:31" ht="36.75" customHeight="1">
      <c r="A127" s="2686"/>
      <c r="B127" s="2680">
        <v>722792</v>
      </c>
      <c r="C127" s="2681" t="s">
        <v>1491</v>
      </c>
      <c r="D127" s="2696"/>
      <c r="E127" s="2667"/>
      <c r="F127" s="2649"/>
      <c r="G127" s="2650"/>
      <c r="H127" s="2651"/>
      <c r="I127" s="2697"/>
      <c r="J127" s="2667"/>
      <c r="K127" s="2649"/>
      <c r="L127" s="2650"/>
      <c r="M127" s="2651"/>
      <c r="N127" s="2697"/>
      <c r="O127" s="2667"/>
      <c r="P127" s="2649"/>
      <c r="Q127" s="2650"/>
      <c r="R127" s="2653"/>
      <c r="S127" s="2652"/>
      <c r="T127" s="2649">
        <v>204247</v>
      </c>
      <c r="U127" s="2654"/>
      <c r="V127" s="2655">
        <f>SUM(S127:U127)</f>
        <v>204247</v>
      </c>
      <c r="W127" s="2656">
        <v>200000</v>
      </c>
      <c r="X127" s="2649"/>
      <c r="Y127" s="2654"/>
      <c r="Z127" s="2655">
        <f>SUM(W127:Y127)</f>
        <v>200000</v>
      </c>
      <c r="AA127" s="2639">
        <f t="shared" si="43"/>
        <v>97.920654893339929</v>
      </c>
      <c r="AB127" s="1351"/>
      <c r="AC127" s="1351"/>
      <c r="AD127" s="1349">
        <f t="shared" si="42"/>
        <v>0</v>
      </c>
      <c r="AE127" s="209" t="e">
        <f>S127-#REF!</f>
        <v>#REF!</v>
      </c>
    </row>
    <row r="128" spans="1:31" ht="36.75" customHeight="1">
      <c r="A128" s="2686"/>
      <c r="B128" s="2698">
        <v>723000</v>
      </c>
      <c r="C128" s="2685" t="s">
        <v>1421</v>
      </c>
      <c r="D128" s="2632">
        <f t="shared" ref="D128:Z128" si="81">SUM(D129)</f>
        <v>0</v>
      </c>
      <c r="E128" s="2634">
        <f t="shared" si="81"/>
        <v>0</v>
      </c>
      <c r="F128" s="2634">
        <f t="shared" si="81"/>
        <v>0</v>
      </c>
      <c r="G128" s="2635">
        <f t="shared" si="81"/>
        <v>0</v>
      </c>
      <c r="H128" s="2636">
        <f t="shared" si="81"/>
        <v>0</v>
      </c>
      <c r="I128" s="2633">
        <f t="shared" si="81"/>
        <v>500</v>
      </c>
      <c r="J128" s="2634">
        <f t="shared" si="81"/>
        <v>0</v>
      </c>
      <c r="K128" s="2634">
        <f t="shared" si="81"/>
        <v>0</v>
      </c>
      <c r="L128" s="2635">
        <f t="shared" si="81"/>
        <v>0</v>
      </c>
      <c r="M128" s="2636">
        <f t="shared" si="81"/>
        <v>500</v>
      </c>
      <c r="N128" s="2633">
        <f t="shared" si="81"/>
        <v>500</v>
      </c>
      <c r="O128" s="2634">
        <f t="shared" si="81"/>
        <v>0</v>
      </c>
      <c r="P128" s="2634">
        <f t="shared" si="81"/>
        <v>0</v>
      </c>
      <c r="Q128" s="2635">
        <f t="shared" si="81"/>
        <v>0</v>
      </c>
      <c r="R128" s="2637">
        <f t="shared" si="81"/>
        <v>500</v>
      </c>
      <c r="S128" s="2633">
        <f t="shared" si="81"/>
        <v>10000</v>
      </c>
      <c r="T128" s="2634">
        <f t="shared" si="81"/>
        <v>0</v>
      </c>
      <c r="U128" s="2635">
        <f t="shared" si="81"/>
        <v>0</v>
      </c>
      <c r="V128" s="2638">
        <f t="shared" si="81"/>
        <v>10000</v>
      </c>
      <c r="W128" s="2633">
        <f t="shared" si="81"/>
        <v>10000</v>
      </c>
      <c r="X128" s="2634">
        <f t="shared" si="81"/>
        <v>0</v>
      </c>
      <c r="Y128" s="2635">
        <f t="shared" si="81"/>
        <v>0</v>
      </c>
      <c r="Z128" s="2638">
        <f t="shared" si="81"/>
        <v>10000</v>
      </c>
      <c r="AA128" s="2639">
        <f t="shared" si="43"/>
        <v>100</v>
      </c>
      <c r="AB128" s="1351">
        <f>'[1]PRIH REBALANS'!$AK$200</f>
        <v>10000</v>
      </c>
      <c r="AC128" s="1002"/>
      <c r="AD128" s="1349">
        <f t="shared" si="42"/>
        <v>0</v>
      </c>
      <c r="AE128" s="209" t="e">
        <f>S128-#REF!</f>
        <v>#REF!</v>
      </c>
    </row>
    <row r="129" spans="1:31" ht="36.75" customHeight="1">
      <c r="A129" s="2629">
        <v>111</v>
      </c>
      <c r="B129" s="2680">
        <v>723131</v>
      </c>
      <c r="C129" s="2681" t="s">
        <v>143</v>
      </c>
      <c r="D129" s="2648"/>
      <c r="E129" s="2649"/>
      <c r="F129" s="2649"/>
      <c r="G129" s="2650"/>
      <c r="H129" s="2651">
        <f>SUM(D129:G129)</f>
        <v>0</v>
      </c>
      <c r="I129" s="2652">
        <v>500</v>
      </c>
      <c r="J129" s="2649"/>
      <c r="K129" s="2649"/>
      <c r="L129" s="2650"/>
      <c r="M129" s="2651">
        <f>SUM(I129:L129)</f>
        <v>500</v>
      </c>
      <c r="N129" s="2652">
        <v>500</v>
      </c>
      <c r="O129" s="2649"/>
      <c r="P129" s="2649"/>
      <c r="Q129" s="2650"/>
      <c r="R129" s="2653">
        <f>SUM(N129:Q129)</f>
        <v>500</v>
      </c>
      <c r="S129" s="2652">
        <v>10000</v>
      </c>
      <c r="T129" s="2649"/>
      <c r="U129" s="2654"/>
      <c r="V129" s="2655">
        <f>SUM(S129:U129)</f>
        <v>10000</v>
      </c>
      <c r="W129" s="2652">
        <v>10000</v>
      </c>
      <c r="X129" s="2649"/>
      <c r="Y129" s="2654"/>
      <c r="Z129" s="2655">
        <f>SUM(W129:Y129)</f>
        <v>10000</v>
      </c>
      <c r="AA129" s="2639">
        <f t="shared" si="43"/>
        <v>100</v>
      </c>
      <c r="AB129" s="1351"/>
      <c r="AC129" s="1351"/>
      <c r="AD129" s="1349">
        <f t="shared" si="42"/>
        <v>0</v>
      </c>
      <c r="AE129" s="209" t="e">
        <f>S129-#REF!</f>
        <v>#REF!</v>
      </c>
    </row>
    <row r="130" spans="1:31" ht="36.75" customHeight="1">
      <c r="A130" s="2615"/>
      <c r="B130" s="2619">
        <v>730000</v>
      </c>
      <c r="C130" s="2620" t="s">
        <v>144</v>
      </c>
      <c r="D130" s="2621">
        <f t="shared" ref="D130:V130" si="82">SUM(D131:D143)</f>
        <v>0</v>
      </c>
      <c r="E130" s="2622">
        <f t="shared" si="82"/>
        <v>0</v>
      </c>
      <c r="F130" s="2622">
        <f t="shared" si="82"/>
        <v>534803.18000000005</v>
      </c>
      <c r="G130" s="2623">
        <f t="shared" si="82"/>
        <v>892162.59</v>
      </c>
      <c r="H130" s="2624">
        <f t="shared" si="82"/>
        <v>1426965.77</v>
      </c>
      <c r="I130" s="2625">
        <f t="shared" si="82"/>
        <v>0</v>
      </c>
      <c r="J130" s="2622">
        <f t="shared" si="82"/>
        <v>0</v>
      </c>
      <c r="K130" s="2622">
        <f t="shared" si="82"/>
        <v>534803.18000000005</v>
      </c>
      <c r="L130" s="2623">
        <f t="shared" si="82"/>
        <v>893662.59</v>
      </c>
      <c r="M130" s="2624">
        <f t="shared" si="82"/>
        <v>1428465.77</v>
      </c>
      <c r="N130" s="2625">
        <f t="shared" si="82"/>
        <v>0</v>
      </c>
      <c r="O130" s="2622">
        <f t="shared" si="82"/>
        <v>0</v>
      </c>
      <c r="P130" s="2622">
        <f t="shared" si="82"/>
        <v>534803.18000000005</v>
      </c>
      <c r="Q130" s="2623">
        <f t="shared" si="82"/>
        <v>893662.59</v>
      </c>
      <c r="R130" s="2626">
        <f t="shared" si="82"/>
        <v>1428465.77</v>
      </c>
      <c r="S130" s="2625">
        <f t="shared" si="82"/>
        <v>0</v>
      </c>
      <c r="T130" s="2622">
        <f t="shared" si="82"/>
        <v>0</v>
      </c>
      <c r="U130" s="2623">
        <f t="shared" si="82"/>
        <v>2512576.2100000004</v>
      </c>
      <c r="V130" s="2627">
        <f t="shared" si="82"/>
        <v>2512576.2100000004</v>
      </c>
      <c r="W130" s="2625">
        <f t="shared" ref="W130:Z130" si="83">SUM(W131:W143)</f>
        <v>0</v>
      </c>
      <c r="X130" s="2622">
        <f t="shared" si="83"/>
        <v>0</v>
      </c>
      <c r="Y130" s="2623">
        <f>SUM(Y131:Y143)</f>
        <v>800000</v>
      </c>
      <c r="Z130" s="2627">
        <f t="shared" si="83"/>
        <v>800000</v>
      </c>
      <c r="AA130" s="2628">
        <f t="shared" si="43"/>
        <v>31.839830243397866</v>
      </c>
      <c r="AB130" s="1350">
        <f>'[1]PRIH REBALANS'!$AK$202</f>
        <v>800000</v>
      </c>
      <c r="AC130" s="1001">
        <f>'[8]PRIH REBALANS'!$AJ$202</f>
        <v>550000</v>
      </c>
      <c r="AD130" s="1349">
        <f t="shared" si="42"/>
        <v>0</v>
      </c>
      <c r="AE130" s="209" t="e">
        <f>S130-#REF!</f>
        <v>#REF!</v>
      </c>
    </row>
    <row r="131" spans="1:31" ht="36.75" customHeight="1">
      <c r="A131" s="2629">
        <v>555</v>
      </c>
      <c r="B131" s="2728">
        <v>731111</v>
      </c>
      <c r="C131" s="2729" t="s">
        <v>1422</v>
      </c>
      <c r="D131" s="2648"/>
      <c r="E131" s="2649"/>
      <c r="F131" s="2649">
        <v>36234.32</v>
      </c>
      <c r="G131" s="2730">
        <v>126603</v>
      </c>
      <c r="H131" s="2651">
        <f>D131+E131+G131+F131</f>
        <v>162837.32</v>
      </c>
      <c r="I131" s="2652"/>
      <c r="J131" s="2649"/>
      <c r="K131" s="2649">
        <v>36234.32</v>
      </c>
      <c r="L131" s="2730">
        <v>126603</v>
      </c>
      <c r="M131" s="2651">
        <f>I131+J131+L131+K131</f>
        <v>162837.32</v>
      </c>
      <c r="N131" s="2652"/>
      <c r="O131" s="2649"/>
      <c r="P131" s="2649">
        <v>36234.32</v>
      </c>
      <c r="Q131" s="2730">
        <v>126603</v>
      </c>
      <c r="R131" s="2653">
        <f>N131+O131+Q131+P131</f>
        <v>162837.32</v>
      </c>
      <c r="S131" s="2652">
        <f t="shared" ref="S131:S143" si="84">N131/9*12</f>
        <v>0</v>
      </c>
      <c r="T131" s="2649"/>
      <c r="U131" s="2731">
        <v>126603</v>
      </c>
      <c r="V131" s="2655">
        <f t="shared" ref="V131:V152" si="85">S131+T131+U131</f>
        <v>126603</v>
      </c>
      <c r="W131" s="2652"/>
      <c r="X131" s="2649"/>
      <c r="Y131" s="2732">
        <v>350000</v>
      </c>
      <c r="Z131" s="2655">
        <f t="shared" ref="Z131:Z143" si="86">W131+X131+Y131</f>
        <v>350000</v>
      </c>
      <c r="AA131" s="2639">
        <f t="shared" si="43"/>
        <v>276.45474435834853</v>
      </c>
      <c r="AB131" s="1351"/>
      <c r="AC131" s="1351"/>
      <c r="AD131" s="1349">
        <f t="shared" si="42"/>
        <v>0</v>
      </c>
      <c r="AE131" s="209" t="e">
        <f>S131-#REF!</f>
        <v>#REF!</v>
      </c>
    </row>
    <row r="132" spans="1:31" ht="36.75" customHeight="1">
      <c r="A132" s="2629" t="s">
        <v>337</v>
      </c>
      <c r="B132" s="2728">
        <v>731112</v>
      </c>
      <c r="C132" s="2729" t="s">
        <v>1423</v>
      </c>
      <c r="D132" s="2648"/>
      <c r="E132" s="2649"/>
      <c r="F132" s="2649"/>
      <c r="G132" s="2654"/>
      <c r="H132" s="2651">
        <f t="shared" ref="H132:H143" si="87">D132+E132+G132+F132</f>
        <v>0</v>
      </c>
      <c r="I132" s="2652"/>
      <c r="J132" s="2649"/>
      <c r="K132" s="2649"/>
      <c r="L132" s="2654"/>
      <c r="M132" s="2651">
        <f t="shared" ref="M132:M143" si="88">I132+J132+L132+K132</f>
        <v>0</v>
      </c>
      <c r="N132" s="2652"/>
      <c r="O132" s="2649"/>
      <c r="P132" s="2649"/>
      <c r="Q132" s="2654"/>
      <c r="R132" s="2653">
        <f t="shared" ref="R132:R143" si="89">N132+O132+Q132+P132</f>
        <v>0</v>
      </c>
      <c r="S132" s="2652">
        <f t="shared" si="84"/>
        <v>0</v>
      </c>
      <c r="T132" s="2649"/>
      <c r="U132" s="2654">
        <v>36234.32</v>
      </c>
      <c r="V132" s="2655">
        <f t="shared" si="85"/>
        <v>36234.32</v>
      </c>
      <c r="W132" s="2652"/>
      <c r="X132" s="2649"/>
      <c r="Y132" s="2733"/>
      <c r="Z132" s="2655">
        <f t="shared" si="86"/>
        <v>0</v>
      </c>
      <c r="AA132" s="2639">
        <f t="shared" si="43"/>
        <v>0</v>
      </c>
      <c r="AB132" s="1351"/>
      <c r="AC132" s="1351"/>
      <c r="AD132" s="1349">
        <f t="shared" si="42"/>
        <v>0</v>
      </c>
      <c r="AE132" s="209" t="e">
        <f>S132-#REF!</f>
        <v>#REF!</v>
      </c>
    </row>
    <row r="133" spans="1:31" ht="36.75" customHeight="1">
      <c r="A133" s="2629" t="s">
        <v>511</v>
      </c>
      <c r="B133" s="2728" t="s">
        <v>1424</v>
      </c>
      <c r="C133" s="2729" t="s">
        <v>1425</v>
      </c>
      <c r="D133" s="2648"/>
      <c r="E133" s="2649"/>
      <c r="F133" s="2649">
        <v>48951.72</v>
      </c>
      <c r="G133" s="2654">
        <v>14000</v>
      </c>
      <c r="H133" s="2651">
        <f t="shared" si="87"/>
        <v>62951.72</v>
      </c>
      <c r="I133" s="2652"/>
      <c r="J133" s="2649"/>
      <c r="K133" s="2649">
        <v>48951.72</v>
      </c>
      <c r="L133" s="2654">
        <v>15500</v>
      </c>
      <c r="M133" s="2651">
        <f t="shared" si="88"/>
        <v>64451.72</v>
      </c>
      <c r="N133" s="2652"/>
      <c r="O133" s="2649"/>
      <c r="P133" s="2649">
        <v>48951.72</v>
      </c>
      <c r="Q133" s="2654">
        <v>15500</v>
      </c>
      <c r="R133" s="2653">
        <f t="shared" si="89"/>
        <v>64451.72</v>
      </c>
      <c r="S133" s="2652">
        <f t="shared" si="84"/>
        <v>0</v>
      </c>
      <c r="T133" s="2649"/>
      <c r="U133" s="2654">
        <v>15500</v>
      </c>
      <c r="V133" s="2655">
        <f t="shared" si="85"/>
        <v>15500</v>
      </c>
      <c r="W133" s="2652"/>
      <c r="X133" s="2649"/>
      <c r="Y133" s="2733">
        <v>250000</v>
      </c>
      <c r="Z133" s="2655">
        <f t="shared" si="86"/>
        <v>250000</v>
      </c>
      <c r="AA133" s="2639">
        <f t="shared" si="43"/>
        <v>1612.9032258064517</v>
      </c>
      <c r="AB133" s="1351"/>
      <c r="AC133" s="1351"/>
      <c r="AD133" s="1349">
        <f t="shared" si="42"/>
        <v>0</v>
      </c>
      <c r="AE133" s="209" t="e">
        <f>S133-#REF!</f>
        <v>#REF!</v>
      </c>
    </row>
    <row r="134" spans="1:31" ht="36.75" customHeight="1">
      <c r="A134" s="2629" t="s">
        <v>512</v>
      </c>
      <c r="B134" s="2728" t="s">
        <v>149</v>
      </c>
      <c r="C134" s="2729" t="s">
        <v>1426</v>
      </c>
      <c r="D134" s="2648"/>
      <c r="E134" s="2649"/>
      <c r="F134" s="2649"/>
      <c r="G134" s="2654"/>
      <c r="H134" s="2651">
        <f t="shared" si="87"/>
        <v>0</v>
      </c>
      <c r="I134" s="2652"/>
      <c r="J134" s="2649"/>
      <c r="K134" s="2649"/>
      <c r="L134" s="2654"/>
      <c r="M134" s="2651">
        <f t="shared" si="88"/>
        <v>0</v>
      </c>
      <c r="N134" s="2652"/>
      <c r="O134" s="2649"/>
      <c r="P134" s="2649"/>
      <c r="Q134" s="2654"/>
      <c r="R134" s="2653">
        <f t="shared" si="89"/>
        <v>0</v>
      </c>
      <c r="S134" s="2652">
        <f t="shared" si="84"/>
        <v>0</v>
      </c>
      <c r="T134" s="2649"/>
      <c r="U134" s="2654">
        <v>48952</v>
      </c>
      <c r="V134" s="2655">
        <f t="shared" si="85"/>
        <v>48952</v>
      </c>
      <c r="W134" s="2652"/>
      <c r="X134" s="2649"/>
      <c r="Y134" s="2733"/>
      <c r="Z134" s="2655">
        <f t="shared" si="86"/>
        <v>0</v>
      </c>
      <c r="AA134" s="2639">
        <f t="shared" si="43"/>
        <v>0</v>
      </c>
      <c r="AB134" s="1351"/>
      <c r="AC134" s="1351"/>
      <c r="AD134" s="1349">
        <f t="shared" ref="AD134:AD156" si="90">W134+X134+Y134-Z134</f>
        <v>0</v>
      </c>
      <c r="AE134" s="209" t="e">
        <f>S134-#REF!</f>
        <v>#REF!</v>
      </c>
    </row>
    <row r="135" spans="1:31" ht="36.75" customHeight="1">
      <c r="A135" s="2629" t="s">
        <v>1427</v>
      </c>
      <c r="B135" s="2728" t="s">
        <v>149</v>
      </c>
      <c r="C135" s="2729" t="s">
        <v>1428</v>
      </c>
      <c r="D135" s="2648"/>
      <c r="E135" s="2649"/>
      <c r="F135" s="2649"/>
      <c r="G135" s="2654"/>
      <c r="H135" s="2651">
        <f t="shared" si="87"/>
        <v>0</v>
      </c>
      <c r="I135" s="2652"/>
      <c r="J135" s="2649"/>
      <c r="K135" s="2649"/>
      <c r="L135" s="2654"/>
      <c r="M135" s="2651">
        <f t="shared" si="88"/>
        <v>0</v>
      </c>
      <c r="N135" s="2652"/>
      <c r="O135" s="2649"/>
      <c r="P135" s="2649"/>
      <c r="Q135" s="2654"/>
      <c r="R135" s="2653">
        <f t="shared" si="89"/>
        <v>0</v>
      </c>
      <c r="S135" s="2652">
        <f t="shared" si="84"/>
        <v>0</v>
      </c>
      <c r="T135" s="2649"/>
      <c r="U135" s="2654"/>
      <c r="V135" s="2655">
        <f t="shared" si="85"/>
        <v>0</v>
      </c>
      <c r="W135" s="2652"/>
      <c r="X135" s="2649"/>
      <c r="Y135" s="2733">
        <v>50000</v>
      </c>
      <c r="Z135" s="2655">
        <f t="shared" si="86"/>
        <v>50000</v>
      </c>
      <c r="AA135" s="2639" t="e">
        <f t="shared" si="43"/>
        <v>#DIV/0!</v>
      </c>
      <c r="AB135" s="1351"/>
      <c r="AC135" s="1351"/>
      <c r="AD135" s="1349">
        <f t="shared" si="90"/>
        <v>0</v>
      </c>
      <c r="AE135" s="209" t="e">
        <f>S135-#REF!</f>
        <v>#REF!</v>
      </c>
    </row>
    <row r="136" spans="1:31" ht="36.75" customHeight="1">
      <c r="A136" s="2629" t="s">
        <v>1429</v>
      </c>
      <c r="B136" s="2728" t="s">
        <v>150</v>
      </c>
      <c r="C136" s="2729" t="s">
        <v>1430</v>
      </c>
      <c r="D136" s="2648"/>
      <c r="E136" s="2649"/>
      <c r="F136" s="2649">
        <v>193797.25</v>
      </c>
      <c r="G136" s="2654">
        <v>206019.59</v>
      </c>
      <c r="H136" s="2651">
        <f t="shared" si="87"/>
        <v>399816.83999999997</v>
      </c>
      <c r="I136" s="2652"/>
      <c r="J136" s="2649"/>
      <c r="K136" s="2649">
        <v>193797.25</v>
      </c>
      <c r="L136" s="2654">
        <v>206019.59</v>
      </c>
      <c r="M136" s="2651">
        <f t="shared" si="88"/>
        <v>399816.83999999997</v>
      </c>
      <c r="N136" s="2652"/>
      <c r="O136" s="2649"/>
      <c r="P136" s="2649">
        <v>193797.25</v>
      </c>
      <c r="Q136" s="2654">
        <v>206019.59</v>
      </c>
      <c r="R136" s="2653">
        <f t="shared" si="89"/>
        <v>399816.83999999997</v>
      </c>
      <c r="S136" s="2652">
        <f t="shared" si="84"/>
        <v>0</v>
      </c>
      <c r="T136" s="2649"/>
      <c r="U136" s="2654">
        <v>331020</v>
      </c>
      <c r="V136" s="2655">
        <f t="shared" si="85"/>
        <v>331020</v>
      </c>
      <c r="W136" s="2652"/>
      <c r="X136" s="2649"/>
      <c r="Y136" s="2733"/>
      <c r="Z136" s="2655">
        <f t="shared" si="86"/>
        <v>0</v>
      </c>
      <c r="AA136" s="2639">
        <f t="shared" ref="AA136:AA156" si="91">Z136/V136*100</f>
        <v>0</v>
      </c>
      <c r="AB136" s="1351"/>
      <c r="AC136" s="1351"/>
      <c r="AD136" s="1349">
        <f t="shared" si="90"/>
        <v>0</v>
      </c>
      <c r="AE136" s="209" t="e">
        <f>S136-#REF!</f>
        <v>#REF!</v>
      </c>
    </row>
    <row r="137" spans="1:31" ht="36.75" customHeight="1">
      <c r="A137" s="2629" t="s">
        <v>1431</v>
      </c>
      <c r="B137" s="2734" t="s">
        <v>151</v>
      </c>
      <c r="C137" s="2735" t="s">
        <v>1432</v>
      </c>
      <c r="D137" s="2648"/>
      <c r="E137" s="2649"/>
      <c r="F137" s="2649"/>
      <c r="G137" s="2654"/>
      <c r="H137" s="2651">
        <f t="shared" si="87"/>
        <v>0</v>
      </c>
      <c r="I137" s="2652"/>
      <c r="J137" s="2649"/>
      <c r="K137" s="2649"/>
      <c r="L137" s="2654"/>
      <c r="M137" s="2651">
        <f t="shared" si="88"/>
        <v>0</v>
      </c>
      <c r="N137" s="2652"/>
      <c r="O137" s="2649"/>
      <c r="P137" s="2649"/>
      <c r="Q137" s="2654"/>
      <c r="R137" s="2653">
        <f t="shared" si="89"/>
        <v>0</v>
      </c>
      <c r="S137" s="2652">
        <f t="shared" si="84"/>
        <v>0</v>
      </c>
      <c r="T137" s="2649"/>
      <c r="U137" s="2654">
        <v>193797</v>
      </c>
      <c r="V137" s="2655">
        <f t="shared" si="85"/>
        <v>193797</v>
      </c>
      <c r="W137" s="2652"/>
      <c r="X137" s="2649"/>
      <c r="Y137" s="2733"/>
      <c r="Z137" s="2655">
        <f t="shared" si="86"/>
        <v>0</v>
      </c>
      <c r="AA137" s="2639">
        <f t="shared" si="91"/>
        <v>0</v>
      </c>
      <c r="AB137" s="1351"/>
      <c r="AC137" s="1351"/>
      <c r="AD137" s="1349">
        <f t="shared" si="90"/>
        <v>0</v>
      </c>
      <c r="AE137" s="209" t="e">
        <f>S137-#REF!</f>
        <v>#REF!</v>
      </c>
    </row>
    <row r="138" spans="1:31" ht="36.75" customHeight="1">
      <c r="A138" s="2629" t="s">
        <v>1433</v>
      </c>
      <c r="B138" s="2728" t="s">
        <v>150</v>
      </c>
      <c r="C138" s="2729" t="s">
        <v>1434</v>
      </c>
      <c r="D138" s="2648"/>
      <c r="E138" s="2649"/>
      <c r="F138" s="2649"/>
      <c r="G138" s="2654">
        <v>25000</v>
      </c>
      <c r="H138" s="2651">
        <f t="shared" si="87"/>
        <v>25000</v>
      </c>
      <c r="I138" s="2652"/>
      <c r="J138" s="2649"/>
      <c r="K138" s="2649"/>
      <c r="L138" s="2654">
        <v>25000</v>
      </c>
      <c r="M138" s="2651">
        <f t="shared" si="88"/>
        <v>25000</v>
      </c>
      <c r="N138" s="2652"/>
      <c r="O138" s="2649"/>
      <c r="P138" s="2649"/>
      <c r="Q138" s="2654">
        <v>25000</v>
      </c>
      <c r="R138" s="2653">
        <f t="shared" si="89"/>
        <v>25000</v>
      </c>
      <c r="S138" s="2652">
        <f t="shared" si="84"/>
        <v>0</v>
      </c>
      <c r="T138" s="2649"/>
      <c r="U138" s="2654">
        <v>25000</v>
      </c>
      <c r="V138" s="2655">
        <f t="shared" si="85"/>
        <v>25000</v>
      </c>
      <c r="W138" s="2652"/>
      <c r="X138" s="2649"/>
      <c r="Y138" s="2733"/>
      <c r="Z138" s="2655">
        <f t="shared" si="86"/>
        <v>0</v>
      </c>
      <c r="AA138" s="2639">
        <f t="shared" si="91"/>
        <v>0</v>
      </c>
      <c r="AB138" s="1351"/>
      <c r="AC138" s="1351"/>
      <c r="AD138" s="1349">
        <f t="shared" si="90"/>
        <v>0</v>
      </c>
      <c r="AE138" s="209" t="e">
        <f>S138-#REF!</f>
        <v>#REF!</v>
      </c>
    </row>
    <row r="139" spans="1:31" ht="36.75" customHeight="1">
      <c r="A139" s="2629" t="s">
        <v>1435</v>
      </c>
      <c r="B139" s="2728">
        <v>732114</v>
      </c>
      <c r="C139" s="2729" t="s">
        <v>1436</v>
      </c>
      <c r="D139" s="2648"/>
      <c r="E139" s="2649"/>
      <c r="F139" s="2649"/>
      <c r="G139" s="2654"/>
      <c r="H139" s="2651">
        <f t="shared" si="87"/>
        <v>0</v>
      </c>
      <c r="I139" s="2652"/>
      <c r="J139" s="2649"/>
      <c r="K139" s="2649"/>
      <c r="L139" s="2654"/>
      <c r="M139" s="2651">
        <f t="shared" si="88"/>
        <v>0</v>
      </c>
      <c r="N139" s="2652"/>
      <c r="O139" s="2649"/>
      <c r="P139" s="2649"/>
      <c r="Q139" s="2654"/>
      <c r="R139" s="2653">
        <f t="shared" si="89"/>
        <v>0</v>
      </c>
      <c r="S139" s="2652">
        <f t="shared" si="84"/>
        <v>0</v>
      </c>
      <c r="T139" s="2649"/>
      <c r="U139" s="2654">
        <v>1440560</v>
      </c>
      <c r="V139" s="2655">
        <f t="shared" si="85"/>
        <v>1440560</v>
      </c>
      <c r="W139" s="2652"/>
      <c r="X139" s="2649"/>
      <c r="Y139" s="2733">
        <v>150000</v>
      </c>
      <c r="Z139" s="2655">
        <f t="shared" si="86"/>
        <v>150000</v>
      </c>
      <c r="AA139" s="2639">
        <f t="shared" si="91"/>
        <v>10.41261731548842</v>
      </c>
      <c r="AB139" s="1351"/>
      <c r="AC139" s="1351"/>
      <c r="AD139" s="1349">
        <f t="shared" si="90"/>
        <v>0</v>
      </c>
      <c r="AE139" s="209" t="e">
        <f>S139-#REF!</f>
        <v>#REF!</v>
      </c>
    </row>
    <row r="140" spans="1:31" ht="36.75" customHeight="1">
      <c r="A140" s="2629"/>
      <c r="B140" s="2728"/>
      <c r="C140" s="2729" t="s">
        <v>1437</v>
      </c>
      <c r="D140" s="2648"/>
      <c r="E140" s="2649"/>
      <c r="F140" s="2649"/>
      <c r="G140" s="2654"/>
      <c r="H140" s="2651"/>
      <c r="I140" s="2652"/>
      <c r="J140" s="2649"/>
      <c r="K140" s="2649"/>
      <c r="L140" s="2654"/>
      <c r="M140" s="2651"/>
      <c r="N140" s="2652"/>
      <c r="O140" s="2649"/>
      <c r="P140" s="2649"/>
      <c r="Q140" s="2654"/>
      <c r="R140" s="2653"/>
      <c r="S140" s="2652"/>
      <c r="T140" s="2649"/>
      <c r="U140" s="2654">
        <v>39090</v>
      </c>
      <c r="V140" s="2655">
        <f t="shared" si="85"/>
        <v>39090</v>
      </c>
      <c r="W140" s="2652"/>
      <c r="X140" s="2649"/>
      <c r="Y140" s="2733"/>
      <c r="Z140" s="2655">
        <f t="shared" si="86"/>
        <v>0</v>
      </c>
      <c r="AA140" s="2639">
        <f t="shared" si="91"/>
        <v>0</v>
      </c>
      <c r="AB140" s="1351"/>
      <c r="AC140" s="1351"/>
      <c r="AD140" s="1349">
        <f t="shared" si="90"/>
        <v>0</v>
      </c>
      <c r="AE140" s="209" t="e">
        <f>S140-#REF!</f>
        <v>#REF!</v>
      </c>
    </row>
    <row r="141" spans="1:31" ht="36.75" customHeight="1">
      <c r="A141" s="2629" t="s">
        <v>1438</v>
      </c>
      <c r="B141" s="2728">
        <v>732115</v>
      </c>
      <c r="C141" s="2729" t="s">
        <v>1439</v>
      </c>
      <c r="D141" s="2648"/>
      <c r="E141" s="2649"/>
      <c r="F141" s="2649">
        <v>245814.6</v>
      </c>
      <c r="G141" s="2654">
        <v>513040</v>
      </c>
      <c r="H141" s="2651">
        <f t="shared" si="87"/>
        <v>758854.6</v>
      </c>
      <c r="I141" s="2652"/>
      <c r="J141" s="2649"/>
      <c r="K141" s="2649">
        <v>245814.6</v>
      </c>
      <c r="L141" s="2654">
        <v>513040</v>
      </c>
      <c r="M141" s="2651">
        <f t="shared" si="88"/>
        <v>758854.6</v>
      </c>
      <c r="N141" s="2652"/>
      <c r="O141" s="2649"/>
      <c r="P141" s="2649">
        <v>245814.6</v>
      </c>
      <c r="Q141" s="2654">
        <v>513040</v>
      </c>
      <c r="R141" s="2653">
        <f t="shared" si="89"/>
        <v>758854.6</v>
      </c>
      <c r="S141" s="2652">
        <f t="shared" si="84"/>
        <v>0</v>
      </c>
      <c r="T141" s="2649"/>
      <c r="U141" s="2654">
        <v>245814.6</v>
      </c>
      <c r="V141" s="2655">
        <f t="shared" si="85"/>
        <v>245814.6</v>
      </c>
      <c r="W141" s="2652"/>
      <c r="X141" s="2649"/>
      <c r="Y141" s="2733"/>
      <c r="Z141" s="2655">
        <f t="shared" si="86"/>
        <v>0</v>
      </c>
      <c r="AA141" s="2639">
        <f t="shared" si="91"/>
        <v>0</v>
      </c>
      <c r="AB141" s="1351"/>
      <c r="AC141" s="1351"/>
      <c r="AD141" s="1349">
        <f t="shared" si="90"/>
        <v>0</v>
      </c>
      <c r="AE141" s="209" t="e">
        <f>S141-#REF!</f>
        <v>#REF!</v>
      </c>
    </row>
    <row r="142" spans="1:31" ht="36.75" customHeight="1">
      <c r="A142" s="2629" t="s">
        <v>1440</v>
      </c>
      <c r="B142" s="2728" t="s">
        <v>1441</v>
      </c>
      <c r="C142" s="2729" t="s">
        <v>153</v>
      </c>
      <c r="D142" s="2648"/>
      <c r="E142" s="2649"/>
      <c r="F142" s="2649"/>
      <c r="G142" s="2654">
        <v>7500</v>
      </c>
      <c r="H142" s="2651">
        <f t="shared" si="87"/>
        <v>7500</v>
      </c>
      <c r="I142" s="2652"/>
      <c r="J142" s="2649"/>
      <c r="K142" s="2649"/>
      <c r="L142" s="2654">
        <v>7500</v>
      </c>
      <c r="M142" s="2651">
        <f t="shared" si="88"/>
        <v>7500</v>
      </c>
      <c r="N142" s="2652"/>
      <c r="O142" s="2649"/>
      <c r="P142" s="2649"/>
      <c r="Q142" s="2654">
        <v>7500</v>
      </c>
      <c r="R142" s="2653">
        <f t="shared" si="89"/>
        <v>7500</v>
      </c>
      <c r="S142" s="2652">
        <f t="shared" si="84"/>
        <v>0</v>
      </c>
      <c r="T142" s="2649"/>
      <c r="U142" s="2654"/>
      <c r="V142" s="2655">
        <f t="shared" si="85"/>
        <v>0</v>
      </c>
      <c r="W142" s="2652"/>
      <c r="X142" s="2649"/>
      <c r="Y142" s="2733"/>
      <c r="Z142" s="2655">
        <f t="shared" si="86"/>
        <v>0</v>
      </c>
      <c r="AA142" s="2639"/>
      <c r="AB142" s="1351"/>
      <c r="AC142" s="1351"/>
      <c r="AD142" s="1349">
        <f t="shared" si="90"/>
        <v>0</v>
      </c>
      <c r="AE142" s="209" t="e">
        <f>S142-#REF!</f>
        <v>#REF!</v>
      </c>
    </row>
    <row r="143" spans="1:31" ht="36.75" customHeight="1">
      <c r="A143" s="2629" t="s">
        <v>1442</v>
      </c>
      <c r="B143" s="2728" t="s">
        <v>1443</v>
      </c>
      <c r="C143" s="2729" t="s">
        <v>1444</v>
      </c>
      <c r="D143" s="2648"/>
      <c r="E143" s="2649"/>
      <c r="F143" s="2649">
        <v>10005.290000000001</v>
      </c>
      <c r="G143" s="2654"/>
      <c r="H143" s="2651">
        <f t="shared" si="87"/>
        <v>10005.290000000001</v>
      </c>
      <c r="I143" s="2652"/>
      <c r="J143" s="2649"/>
      <c r="K143" s="2649">
        <v>10005.290000000001</v>
      </c>
      <c r="L143" s="2654"/>
      <c r="M143" s="2651">
        <f t="shared" si="88"/>
        <v>10005.290000000001</v>
      </c>
      <c r="N143" s="2652"/>
      <c r="O143" s="2649"/>
      <c r="P143" s="2649">
        <v>10005.290000000001</v>
      </c>
      <c r="Q143" s="2654"/>
      <c r="R143" s="2653">
        <f t="shared" si="89"/>
        <v>10005.290000000001</v>
      </c>
      <c r="S143" s="2652">
        <f t="shared" si="84"/>
        <v>0</v>
      </c>
      <c r="T143" s="2649"/>
      <c r="U143" s="2654">
        <v>10005.290000000001</v>
      </c>
      <c r="V143" s="2655">
        <f t="shared" si="85"/>
        <v>10005.290000000001</v>
      </c>
      <c r="W143" s="2652"/>
      <c r="X143" s="2649"/>
      <c r="Y143" s="2733"/>
      <c r="Z143" s="2655">
        <f t="shared" si="86"/>
        <v>0</v>
      </c>
      <c r="AA143" s="2639">
        <f t="shared" si="91"/>
        <v>0</v>
      </c>
      <c r="AB143" s="1351"/>
      <c r="AC143" s="1351"/>
      <c r="AD143" s="1349">
        <f t="shared" si="90"/>
        <v>0</v>
      </c>
      <c r="AE143" s="209" t="e">
        <f>S143-#REF!</f>
        <v>#REF!</v>
      </c>
    </row>
    <row r="144" spans="1:31" ht="36.75" customHeight="1">
      <c r="A144" s="2736"/>
      <c r="B144" s="2619" t="s">
        <v>1445</v>
      </c>
      <c r="C144" s="2620" t="s">
        <v>154</v>
      </c>
      <c r="D144" s="2621">
        <f t="shared" ref="D144:V144" si="92">SUM(D145:D153)</f>
        <v>0</v>
      </c>
      <c r="E144" s="2622">
        <f t="shared" si="92"/>
        <v>0</v>
      </c>
      <c r="F144" s="2622">
        <f t="shared" si="92"/>
        <v>2647794.06</v>
      </c>
      <c r="G144" s="2623">
        <f t="shared" si="92"/>
        <v>2492565.7500000005</v>
      </c>
      <c r="H144" s="2624">
        <f t="shared" si="92"/>
        <v>5140359.8100000005</v>
      </c>
      <c r="I144" s="2625">
        <f t="shared" si="92"/>
        <v>0</v>
      </c>
      <c r="J144" s="2622">
        <f t="shared" si="92"/>
        <v>0</v>
      </c>
      <c r="K144" s="2622">
        <f t="shared" si="92"/>
        <v>2647794.06</v>
      </c>
      <c r="L144" s="2623">
        <f t="shared" si="92"/>
        <v>3168140.3200000003</v>
      </c>
      <c r="M144" s="2624">
        <f t="shared" si="92"/>
        <v>5815934.3800000008</v>
      </c>
      <c r="N144" s="2625">
        <f t="shared" si="92"/>
        <v>0</v>
      </c>
      <c r="O144" s="2622">
        <f t="shared" si="92"/>
        <v>0</v>
      </c>
      <c r="P144" s="2622">
        <f t="shared" si="92"/>
        <v>2647794.06</v>
      </c>
      <c r="Q144" s="2623">
        <f t="shared" si="92"/>
        <v>3538140.3200000003</v>
      </c>
      <c r="R144" s="2626">
        <f t="shared" si="92"/>
        <v>6185934.3800000008</v>
      </c>
      <c r="S144" s="2625">
        <f t="shared" si="92"/>
        <v>0</v>
      </c>
      <c r="T144" s="2622">
        <f t="shared" si="92"/>
        <v>0</v>
      </c>
      <c r="U144" s="2623">
        <f t="shared" si="92"/>
        <v>7306361.0599999996</v>
      </c>
      <c r="V144" s="2627">
        <f t="shared" si="92"/>
        <v>7306361.0599999996</v>
      </c>
      <c r="W144" s="2625">
        <f t="shared" ref="W144:Z144" si="93">SUM(W145:W153)</f>
        <v>0</v>
      </c>
      <c r="X144" s="2622">
        <f t="shared" si="93"/>
        <v>0</v>
      </c>
      <c r="Y144" s="2623">
        <f>SUM(Y145:Y153)</f>
        <v>972311</v>
      </c>
      <c r="Z144" s="2627">
        <f t="shared" si="93"/>
        <v>972311</v>
      </c>
      <c r="AA144" s="2628">
        <f t="shared" si="91"/>
        <v>13.307732700524385</v>
      </c>
      <c r="AB144" s="1351">
        <f>'[1]PRIH REBALANS'!$AK$216</f>
        <v>972311</v>
      </c>
      <c r="AC144" s="1001">
        <f>'[8]PRIH REBALANS'!$AJ$216</f>
        <v>972311</v>
      </c>
      <c r="AD144" s="1349">
        <f t="shared" si="90"/>
        <v>0</v>
      </c>
      <c r="AE144" s="209" t="e">
        <f>S144-#REF!</f>
        <v>#REF!</v>
      </c>
    </row>
    <row r="145" spans="1:33" ht="36.75" customHeight="1">
      <c r="A145" s="2645">
        <v>555</v>
      </c>
      <c r="B145" s="2737">
        <v>741111</v>
      </c>
      <c r="C145" s="2738" t="s">
        <v>1446</v>
      </c>
      <c r="D145" s="2648"/>
      <c r="E145" s="2649"/>
      <c r="F145" s="2649">
        <v>202381.72</v>
      </c>
      <c r="G145" s="2650">
        <v>196696.73</v>
      </c>
      <c r="H145" s="2651">
        <f>D145+E145+G145+F145</f>
        <v>399078.45</v>
      </c>
      <c r="I145" s="2652"/>
      <c r="J145" s="2649"/>
      <c r="K145" s="2649">
        <v>202381.72</v>
      </c>
      <c r="L145" s="2650">
        <v>196696.73</v>
      </c>
      <c r="M145" s="2651">
        <f>I145+J145+L145+K145</f>
        <v>399078.45</v>
      </c>
      <c r="N145" s="2652"/>
      <c r="O145" s="2649"/>
      <c r="P145" s="2649">
        <v>202381.72</v>
      </c>
      <c r="Q145" s="2650">
        <v>196696.73</v>
      </c>
      <c r="R145" s="2653">
        <f>N145+O145+Q145+P145</f>
        <v>399078.45</v>
      </c>
      <c r="S145" s="2652">
        <f t="shared" ref="S145:S153" si="94">N145/9*12</f>
        <v>0</v>
      </c>
      <c r="T145" s="2649"/>
      <c r="U145" s="2650">
        <v>274323</v>
      </c>
      <c r="V145" s="2655">
        <f t="shared" si="85"/>
        <v>274323</v>
      </c>
      <c r="W145" s="2652"/>
      <c r="X145" s="2649"/>
      <c r="Y145" s="2650">
        <v>857311</v>
      </c>
      <c r="Z145" s="2655">
        <f t="shared" ref="Z145:Z152" si="95">W145+X145+Y145</f>
        <v>857311</v>
      </c>
      <c r="AA145" s="2639">
        <f t="shared" si="91"/>
        <v>312.51881905636787</v>
      </c>
      <c r="AB145" s="1351"/>
      <c r="AC145" s="1351">
        <f>'[1]PRIH REBALANS'!$AJ$217</f>
        <v>857311</v>
      </c>
      <c r="AD145" s="1349">
        <f t="shared" si="90"/>
        <v>0</v>
      </c>
      <c r="AE145" s="209" t="e">
        <f>S145-#REF!</f>
        <v>#REF!</v>
      </c>
    </row>
    <row r="146" spans="1:33" ht="36.75" customHeight="1">
      <c r="A146" s="2645" t="s">
        <v>474</v>
      </c>
      <c r="B146" s="2737">
        <v>741112</v>
      </c>
      <c r="C146" s="2738" t="s">
        <v>1447</v>
      </c>
      <c r="D146" s="2648"/>
      <c r="E146" s="2649"/>
      <c r="F146" s="2649"/>
      <c r="G146" s="2650"/>
      <c r="H146" s="2651">
        <f t="shared" ref="H146:H153" si="96">D146+E146+G146+F146</f>
        <v>0</v>
      </c>
      <c r="I146" s="2652"/>
      <c r="J146" s="2649"/>
      <c r="K146" s="2649"/>
      <c r="L146" s="2650"/>
      <c r="M146" s="2651">
        <f t="shared" ref="M146:M153" si="97">I146+J146+L146+K146</f>
        <v>0</v>
      </c>
      <c r="N146" s="2652"/>
      <c r="O146" s="2649"/>
      <c r="P146" s="2649"/>
      <c r="Q146" s="2650"/>
      <c r="R146" s="2653">
        <f t="shared" ref="R146:R153" si="98">N146+O146+Q146+P146</f>
        <v>0</v>
      </c>
      <c r="S146" s="2652">
        <f t="shared" si="94"/>
        <v>0</v>
      </c>
      <c r="T146" s="2649"/>
      <c r="U146" s="2654">
        <v>202381.72</v>
      </c>
      <c r="V146" s="2655">
        <f t="shared" si="85"/>
        <v>202381.72</v>
      </c>
      <c r="W146" s="2652"/>
      <c r="X146" s="2649"/>
      <c r="Y146" s="2654"/>
      <c r="Z146" s="2655">
        <f t="shared" si="95"/>
        <v>0</v>
      </c>
      <c r="AA146" s="2639">
        <f t="shared" si="91"/>
        <v>0</v>
      </c>
      <c r="AB146" s="1351"/>
      <c r="AC146" s="1351"/>
      <c r="AD146" s="1349">
        <f t="shared" si="90"/>
        <v>0</v>
      </c>
      <c r="AE146" s="209" t="e">
        <f>S146-#REF!</f>
        <v>#REF!</v>
      </c>
    </row>
    <row r="147" spans="1:33" ht="36.75" customHeight="1">
      <c r="A147" s="2645" t="s">
        <v>474</v>
      </c>
      <c r="B147" s="2737"/>
      <c r="C147" s="2738" t="s">
        <v>1448</v>
      </c>
      <c r="D147" s="2648"/>
      <c r="E147" s="2649"/>
      <c r="F147" s="2649">
        <v>2571.5</v>
      </c>
      <c r="G147" s="2650"/>
      <c r="H147" s="2651">
        <f t="shared" si="96"/>
        <v>2571.5</v>
      </c>
      <c r="I147" s="2652"/>
      <c r="J147" s="2649"/>
      <c r="K147" s="2649">
        <v>2571.5</v>
      </c>
      <c r="L147" s="2650"/>
      <c r="M147" s="2651">
        <f t="shared" si="97"/>
        <v>2571.5</v>
      </c>
      <c r="N147" s="2652"/>
      <c r="O147" s="2649"/>
      <c r="P147" s="2649">
        <v>2571.5</v>
      </c>
      <c r="Q147" s="2650"/>
      <c r="R147" s="2653">
        <f t="shared" si="98"/>
        <v>2571.5</v>
      </c>
      <c r="S147" s="2652">
        <f t="shared" si="94"/>
        <v>0</v>
      </c>
      <c r="T147" s="2649"/>
      <c r="U147" s="2654">
        <v>2571.5</v>
      </c>
      <c r="V147" s="2655">
        <f t="shared" si="85"/>
        <v>2571.5</v>
      </c>
      <c r="W147" s="2652"/>
      <c r="X147" s="2649"/>
      <c r="Y147" s="2654"/>
      <c r="Z147" s="2655">
        <f t="shared" si="95"/>
        <v>0</v>
      </c>
      <c r="AA147" s="2639">
        <f t="shared" si="91"/>
        <v>0</v>
      </c>
      <c r="AB147" s="1351"/>
      <c r="AC147" s="1351"/>
      <c r="AD147" s="1349">
        <f t="shared" si="90"/>
        <v>0</v>
      </c>
      <c r="AE147" s="209" t="e">
        <f>S147-#REF!</f>
        <v>#REF!</v>
      </c>
    </row>
    <row r="148" spans="1:33" ht="36.75" customHeight="1">
      <c r="A148" s="2629">
        <v>444</v>
      </c>
      <c r="B148" s="2646">
        <v>742112</v>
      </c>
      <c r="C148" s="2681" t="s">
        <v>1449</v>
      </c>
      <c r="D148" s="2648"/>
      <c r="E148" s="2649"/>
      <c r="F148" s="2649">
        <v>985972.6</v>
      </c>
      <c r="G148" s="2654">
        <v>1907495.84</v>
      </c>
      <c r="H148" s="2651">
        <f t="shared" si="96"/>
        <v>2893468.44</v>
      </c>
      <c r="I148" s="2652"/>
      <c r="J148" s="2649"/>
      <c r="K148" s="2649">
        <v>985972.6</v>
      </c>
      <c r="L148" s="2654">
        <v>2583070.41</v>
      </c>
      <c r="M148" s="2651">
        <f t="shared" si="97"/>
        <v>3569043.0100000002</v>
      </c>
      <c r="N148" s="2652"/>
      <c r="O148" s="2649"/>
      <c r="P148" s="2649">
        <v>985972.6</v>
      </c>
      <c r="Q148" s="2654">
        <v>2583070.41</v>
      </c>
      <c r="R148" s="2653">
        <f t="shared" si="98"/>
        <v>3569043.0100000002</v>
      </c>
      <c r="S148" s="2652">
        <f t="shared" si="94"/>
        <v>0</v>
      </c>
      <c r="T148" s="2649"/>
      <c r="U148" s="2654">
        <v>3825871</v>
      </c>
      <c r="V148" s="2655">
        <f t="shared" si="85"/>
        <v>3825871</v>
      </c>
      <c r="W148" s="2652"/>
      <c r="X148" s="2649"/>
      <c r="Y148" s="2654">
        <v>95000</v>
      </c>
      <c r="Z148" s="2655">
        <f t="shared" si="95"/>
        <v>95000</v>
      </c>
      <c r="AA148" s="2639">
        <f t="shared" si="91"/>
        <v>2.4830946992201253</v>
      </c>
      <c r="AB148" s="1351"/>
      <c r="AC148" s="1351"/>
      <c r="AD148" s="1349">
        <f t="shared" si="90"/>
        <v>0</v>
      </c>
      <c r="AE148" s="209" t="e">
        <f>S148-#REF!</f>
        <v>#REF!</v>
      </c>
    </row>
    <row r="149" spans="1:33" ht="36.75" customHeight="1">
      <c r="A149" s="2629">
        <v>444</v>
      </c>
      <c r="B149" s="2646">
        <v>742113</v>
      </c>
      <c r="C149" s="2681" t="s">
        <v>1450</v>
      </c>
      <c r="D149" s="2648"/>
      <c r="E149" s="2649"/>
      <c r="F149" s="2649"/>
      <c r="G149" s="2654"/>
      <c r="H149" s="2651">
        <f t="shared" si="96"/>
        <v>0</v>
      </c>
      <c r="I149" s="2652"/>
      <c r="J149" s="2649"/>
      <c r="K149" s="2649"/>
      <c r="L149" s="2654"/>
      <c r="M149" s="2651">
        <f t="shared" si="97"/>
        <v>0</v>
      </c>
      <c r="N149" s="2652"/>
      <c r="O149" s="2649"/>
      <c r="P149" s="2649"/>
      <c r="Q149" s="2654"/>
      <c r="R149" s="2653">
        <f t="shared" si="98"/>
        <v>0</v>
      </c>
      <c r="S149" s="2652">
        <f t="shared" si="94"/>
        <v>0</v>
      </c>
      <c r="T149" s="2649"/>
      <c r="U149" s="2654">
        <v>985972.6</v>
      </c>
      <c r="V149" s="2655">
        <f t="shared" si="85"/>
        <v>985972.6</v>
      </c>
      <c r="W149" s="2652"/>
      <c r="X149" s="2649"/>
      <c r="Y149" s="2654"/>
      <c r="Z149" s="2655">
        <f t="shared" si="95"/>
        <v>0</v>
      </c>
      <c r="AA149" s="2639">
        <f t="shared" si="91"/>
        <v>0</v>
      </c>
      <c r="AB149" s="1351"/>
      <c r="AC149" s="1351"/>
      <c r="AD149" s="1349">
        <f t="shared" si="90"/>
        <v>0</v>
      </c>
      <c r="AE149" s="209" t="e">
        <f>S149-#REF!</f>
        <v>#REF!</v>
      </c>
    </row>
    <row r="150" spans="1:33" ht="36.75" customHeight="1">
      <c r="A150" s="2629">
        <v>444</v>
      </c>
      <c r="B150" s="2646">
        <v>742113</v>
      </c>
      <c r="C150" s="2681" t="s">
        <v>1451</v>
      </c>
      <c r="D150" s="2648"/>
      <c r="E150" s="2649"/>
      <c r="F150" s="2654">
        <v>5.29</v>
      </c>
      <c r="G150" s="2654"/>
      <c r="H150" s="2651">
        <f t="shared" si="96"/>
        <v>5.29</v>
      </c>
      <c r="I150" s="2652"/>
      <c r="J150" s="2649"/>
      <c r="K150" s="2654">
        <v>5.29</v>
      </c>
      <c r="L150" s="2654"/>
      <c r="M150" s="2651">
        <f t="shared" si="97"/>
        <v>5.29</v>
      </c>
      <c r="N150" s="2652"/>
      <c r="O150" s="2649"/>
      <c r="P150" s="2654">
        <v>5.29</v>
      </c>
      <c r="Q150" s="2654"/>
      <c r="R150" s="2653">
        <f t="shared" si="98"/>
        <v>5.29</v>
      </c>
      <c r="S150" s="2652">
        <f t="shared" si="94"/>
        <v>0</v>
      </c>
      <c r="T150" s="2649"/>
      <c r="U150" s="2654">
        <v>5.29</v>
      </c>
      <c r="V150" s="2655">
        <f t="shared" si="85"/>
        <v>5.29</v>
      </c>
      <c r="W150" s="2652"/>
      <c r="X150" s="2649"/>
      <c r="Y150" s="2654"/>
      <c r="Z150" s="2655">
        <f t="shared" si="95"/>
        <v>0</v>
      </c>
      <c r="AA150" s="2639">
        <f t="shared" si="91"/>
        <v>0</v>
      </c>
      <c r="AB150" s="1351"/>
      <c r="AC150" s="1351"/>
      <c r="AD150" s="1349">
        <f t="shared" si="90"/>
        <v>0</v>
      </c>
      <c r="AE150" s="209" t="e">
        <f>S150-#REF!</f>
        <v>#REF!</v>
      </c>
    </row>
    <row r="151" spans="1:33" ht="36.75" customHeight="1">
      <c r="A151" s="2629">
        <v>444</v>
      </c>
      <c r="B151" s="2646">
        <v>742114</v>
      </c>
      <c r="C151" s="2739" t="s">
        <v>1452</v>
      </c>
      <c r="D151" s="2648"/>
      <c r="E151" s="2649"/>
      <c r="F151" s="2649"/>
      <c r="G151" s="2654"/>
      <c r="H151" s="2651">
        <f t="shared" si="96"/>
        <v>0</v>
      </c>
      <c r="I151" s="2652"/>
      <c r="J151" s="2649"/>
      <c r="K151" s="2649"/>
      <c r="L151" s="2654"/>
      <c r="M151" s="2651">
        <f t="shared" si="97"/>
        <v>0</v>
      </c>
      <c r="N151" s="2652"/>
      <c r="O151" s="2649"/>
      <c r="P151" s="2649"/>
      <c r="Q151" s="2654"/>
      <c r="R151" s="2653">
        <f t="shared" si="98"/>
        <v>0</v>
      </c>
      <c r="S151" s="2652">
        <f t="shared" si="94"/>
        <v>0</v>
      </c>
      <c r="T151" s="2649"/>
      <c r="U151" s="2654">
        <v>558373</v>
      </c>
      <c r="V151" s="2655">
        <f t="shared" si="85"/>
        <v>558373</v>
      </c>
      <c r="W151" s="2652"/>
      <c r="X151" s="2649"/>
      <c r="Y151" s="2654">
        <v>20000</v>
      </c>
      <c r="Z151" s="2655">
        <f t="shared" si="95"/>
        <v>20000</v>
      </c>
      <c r="AA151" s="2639">
        <f t="shared" si="91"/>
        <v>3.5818350815673394</v>
      </c>
      <c r="AB151" s="1351"/>
      <c r="AC151" s="1351"/>
      <c r="AD151" s="1349">
        <f t="shared" si="90"/>
        <v>0</v>
      </c>
      <c r="AE151" s="209" t="e">
        <f>S151-#REF!</f>
        <v>#REF!</v>
      </c>
    </row>
    <row r="152" spans="1:33" ht="36.75" customHeight="1">
      <c r="A152" s="2629">
        <v>444</v>
      </c>
      <c r="B152" s="2646">
        <v>742115</v>
      </c>
      <c r="C152" s="2739" t="s">
        <v>1453</v>
      </c>
      <c r="D152" s="2648"/>
      <c r="E152" s="2649"/>
      <c r="F152" s="2649">
        <v>1356862.95</v>
      </c>
      <c r="G152" s="2654">
        <v>388373.18</v>
      </c>
      <c r="H152" s="2651">
        <f t="shared" si="96"/>
        <v>1745236.13</v>
      </c>
      <c r="I152" s="2652"/>
      <c r="J152" s="2649"/>
      <c r="K152" s="2649">
        <v>1356862.95</v>
      </c>
      <c r="L152" s="2654">
        <v>388373.18</v>
      </c>
      <c r="M152" s="2651">
        <f t="shared" si="97"/>
        <v>1745236.13</v>
      </c>
      <c r="N152" s="2652"/>
      <c r="O152" s="2649"/>
      <c r="P152" s="2649">
        <v>1356862.95</v>
      </c>
      <c r="Q152" s="2654">
        <v>758373.18</v>
      </c>
      <c r="R152" s="2653">
        <f t="shared" si="98"/>
        <v>2115236.13</v>
      </c>
      <c r="S152" s="2652">
        <f t="shared" si="94"/>
        <v>0</v>
      </c>
      <c r="T152" s="2649"/>
      <c r="U152" s="2654">
        <v>1356862.95</v>
      </c>
      <c r="V152" s="2655">
        <f t="shared" si="85"/>
        <v>1356862.95</v>
      </c>
      <c r="W152" s="2652"/>
      <c r="X152" s="2649"/>
      <c r="Y152" s="2654"/>
      <c r="Z152" s="2655">
        <f t="shared" si="95"/>
        <v>0</v>
      </c>
      <c r="AA152" s="2639">
        <f t="shared" si="91"/>
        <v>0</v>
      </c>
      <c r="AB152" s="1351"/>
      <c r="AC152" s="1351"/>
      <c r="AD152" s="1349">
        <f t="shared" si="90"/>
        <v>0</v>
      </c>
      <c r="AE152" s="209" t="e">
        <f>S152-#REF!</f>
        <v>#REF!</v>
      </c>
    </row>
    <row r="153" spans="1:33" ht="36.75" customHeight="1">
      <c r="A153" s="2629">
        <v>444</v>
      </c>
      <c r="B153" s="2646" t="s">
        <v>157</v>
      </c>
      <c r="C153" s="2739" t="s">
        <v>1454</v>
      </c>
      <c r="D153" s="2648"/>
      <c r="E153" s="2649"/>
      <c r="F153" s="2649">
        <v>100000</v>
      </c>
      <c r="G153" s="2740"/>
      <c r="H153" s="2651">
        <f t="shared" si="96"/>
        <v>100000</v>
      </c>
      <c r="I153" s="2652"/>
      <c r="J153" s="2649"/>
      <c r="K153" s="2649">
        <v>100000</v>
      </c>
      <c r="L153" s="2740"/>
      <c r="M153" s="2651">
        <f t="shared" si="97"/>
        <v>100000</v>
      </c>
      <c r="N153" s="2652"/>
      <c r="O153" s="2649"/>
      <c r="P153" s="2649">
        <v>100000</v>
      </c>
      <c r="Q153" s="2740"/>
      <c r="R153" s="2653">
        <f t="shared" si="98"/>
        <v>100000</v>
      </c>
      <c r="S153" s="2652">
        <f t="shared" si="94"/>
        <v>0</v>
      </c>
      <c r="T153" s="2649"/>
      <c r="U153" s="2654">
        <v>100000</v>
      </c>
      <c r="V153" s="2655">
        <f>S153+T153+U153</f>
        <v>100000</v>
      </c>
      <c r="W153" s="2652"/>
      <c r="X153" s="2649"/>
      <c r="Y153" s="2654"/>
      <c r="Z153" s="2655">
        <f>W153+X153+Y153</f>
        <v>0</v>
      </c>
      <c r="AA153" s="2639">
        <f t="shared" si="91"/>
        <v>0</v>
      </c>
      <c r="AB153" s="1351"/>
      <c r="AC153" s="1351"/>
      <c r="AD153" s="1349">
        <f t="shared" si="90"/>
        <v>0</v>
      </c>
      <c r="AE153" s="209" t="e">
        <f>S153-#REF!</f>
        <v>#REF!</v>
      </c>
    </row>
    <row r="154" spans="1:33" ht="36.75" customHeight="1">
      <c r="A154" s="2736"/>
      <c r="B154" s="2741"/>
      <c r="C154" s="2742" t="s">
        <v>1455</v>
      </c>
      <c r="D154" s="2743"/>
      <c r="E154" s="2744"/>
      <c r="F154" s="2744">
        <v>224591</v>
      </c>
      <c r="G154" s="2745"/>
      <c r="H154" s="2624">
        <f>SUM(D154:G154)</f>
        <v>224591</v>
      </c>
      <c r="I154" s="2746"/>
      <c r="J154" s="2744"/>
      <c r="K154" s="2744">
        <v>224591</v>
      </c>
      <c r="L154" s="2745"/>
      <c r="M154" s="2624">
        <f>SUM(I154:L154)</f>
        <v>224591</v>
      </c>
      <c r="N154" s="2746"/>
      <c r="O154" s="2744"/>
      <c r="P154" s="2744">
        <v>224591</v>
      </c>
      <c r="Q154" s="2745"/>
      <c r="R154" s="2626">
        <f>SUM(N154:Q154)</f>
        <v>224591</v>
      </c>
      <c r="S154" s="2746"/>
      <c r="T154" s="2744">
        <v>224591</v>
      </c>
      <c r="U154" s="2745"/>
      <c r="V154" s="2627">
        <f>SUM(S154:U154)</f>
        <v>224591</v>
      </c>
      <c r="W154" s="2746"/>
      <c r="X154" s="2744"/>
      <c r="Y154" s="2745"/>
      <c r="Z154" s="2627">
        <f>SUM(W154:Y154)</f>
        <v>0</v>
      </c>
      <c r="AA154" s="2628">
        <f t="shared" si="91"/>
        <v>0</v>
      </c>
      <c r="AB154" s="1350"/>
      <c r="AC154" s="1352"/>
      <c r="AD154" s="1349">
        <f t="shared" si="90"/>
        <v>0</v>
      </c>
      <c r="AE154" s="209" t="e">
        <f>S154-#REF!</f>
        <v>#REF!</v>
      </c>
    </row>
    <row r="155" spans="1:33" ht="34.15" customHeight="1">
      <c r="A155" s="2615"/>
      <c r="B155" s="2747"/>
      <c r="C155" s="2620" t="s">
        <v>1456</v>
      </c>
      <c r="D155" s="2621">
        <f t="shared" ref="D155:S155" si="99">SUM(D6,D36,D130,D144,D154)</f>
        <v>32844840.390000001</v>
      </c>
      <c r="E155" s="2622" t="e">
        <f t="shared" si="99"/>
        <v>#REF!</v>
      </c>
      <c r="F155" s="2622">
        <f t="shared" si="99"/>
        <v>16004155.629999999</v>
      </c>
      <c r="G155" s="2623">
        <f t="shared" si="99"/>
        <v>3384728.3400000003</v>
      </c>
      <c r="H155" s="2624" t="e">
        <f t="shared" si="99"/>
        <v>#REF!</v>
      </c>
      <c r="I155" s="2625">
        <f t="shared" si="99"/>
        <v>36264474.609999999</v>
      </c>
      <c r="J155" s="2622" t="e">
        <f t="shared" si="99"/>
        <v>#REF!</v>
      </c>
      <c r="K155" s="2622">
        <f t="shared" si="99"/>
        <v>16004155.629999999</v>
      </c>
      <c r="L155" s="2623">
        <f t="shared" si="99"/>
        <v>4061802.91</v>
      </c>
      <c r="M155" s="2624" t="e">
        <f t="shared" si="99"/>
        <v>#REF!</v>
      </c>
      <c r="N155" s="2625">
        <f t="shared" si="99"/>
        <v>39989207.849999994</v>
      </c>
      <c r="O155" s="2622" t="e">
        <f t="shared" si="99"/>
        <v>#REF!</v>
      </c>
      <c r="P155" s="2622">
        <f t="shared" si="99"/>
        <v>16004155.629999999</v>
      </c>
      <c r="Q155" s="2623">
        <f t="shared" si="99"/>
        <v>4431802.91</v>
      </c>
      <c r="R155" s="2626" t="e">
        <f t="shared" si="99"/>
        <v>#REF!</v>
      </c>
      <c r="S155" s="2625">
        <f t="shared" si="99"/>
        <v>50927809.600000001</v>
      </c>
      <c r="T155" s="2622">
        <f>SUM(T6,T36,T130,T144)-T29-T39-T43-T46-T49-T52-T55-T58-T61-T67-T68-T73-T76-T87-T90-T93-T95-T98-T99-T100-T106-T109-T127</f>
        <v>18471867.999999996</v>
      </c>
      <c r="U155" s="2623">
        <f>U131+U133+U136+U138+U139+U140+U145+U148+U151</f>
        <v>6636340</v>
      </c>
      <c r="V155" s="2748">
        <f>SUM(V6,V36,V130,V144,V154)-V29-V39-V43-V46-V49-V52-V55-V58-V61-V67-V68-V73-V76-V87-V90-V93-V95-V98-V99-V100-V106-V109-V132-V134-V137-V141-V143-V146-V147-V149-V150-V152-V153-V154-V127</f>
        <v>76036017.599999994</v>
      </c>
      <c r="W155" s="2625">
        <f t="shared" ref="W155" si="100">SUM(W6,W36,W130,W144,W154)</f>
        <v>45488110</v>
      </c>
      <c r="X155" s="2622">
        <f>SUM(X6,X36,X130,X144)-X29-X39-X43-X46-X49-X52-X55-X58-X61-X67-X68-X73-X76-X87-X90-X93-X95-X98-X99-X100-X106-X109-X127</f>
        <v>13789967</v>
      </c>
      <c r="Y155" s="2623">
        <f>Y131+Y133+Y136+Y138+Y139+Y140+Y145+Y148+Y151+Y135</f>
        <v>1772311</v>
      </c>
      <c r="Z155" s="2748">
        <f>SUM(Z6,Z36,Z130,Z144,Z154)</f>
        <v>61050388</v>
      </c>
      <c r="AA155" s="2628">
        <f t="shared" si="91"/>
        <v>80.291406529423497</v>
      </c>
      <c r="AB155" s="1350"/>
      <c r="AC155" s="1353">
        <f>'[8]PRIH REBALANS'!$AJ$229</f>
        <v>1522311</v>
      </c>
      <c r="AD155" s="1349">
        <f t="shared" si="90"/>
        <v>0</v>
      </c>
      <c r="AE155" s="209">
        <f>'[3]PRIH REBALANS'!$AG$249+'[3]PRIH REBALANS'!$AH$249+'[3]PRIH REBALANS'!$AJ$249</f>
        <v>76036017.599999994</v>
      </c>
      <c r="AG155" s="209">
        <f>SUM(S155:U155)</f>
        <v>76036017.599999994</v>
      </c>
    </row>
    <row r="156" spans="1:33" ht="34.15" customHeight="1">
      <c r="A156" s="2615"/>
      <c r="B156" s="2747"/>
      <c r="C156" s="2749" t="s">
        <v>1457</v>
      </c>
      <c r="D156" s="2743"/>
      <c r="E156" s="2744">
        <f>E1071</f>
        <v>0</v>
      </c>
      <c r="F156" s="2744"/>
      <c r="G156" s="2745">
        <f>G1071</f>
        <v>0</v>
      </c>
      <c r="H156" s="2608"/>
      <c r="I156" s="2746"/>
      <c r="J156" s="2744" t="e">
        <f>#REF!</f>
        <v>#REF!</v>
      </c>
      <c r="K156" s="2744"/>
      <c r="L156" s="2745" t="e">
        <f>#REF!</f>
        <v>#REF!</v>
      </c>
      <c r="M156" s="2608"/>
      <c r="N156" s="2746"/>
      <c r="O156" s="2744"/>
      <c r="P156" s="2744"/>
      <c r="Q156" s="2745"/>
      <c r="R156" s="2610"/>
      <c r="S156" s="2746"/>
      <c r="T156" s="2744">
        <f>T29+T39+T67+T68+T73+T76+T87+T90+T93+T95+T98+T99+T100+T106+T109+T126+T61+T58+T55+T52+T49+T43+T46+T154+T127</f>
        <v>17607100.189999998</v>
      </c>
      <c r="U156" s="2745">
        <f>U153+U152+U150+U149+U147+U146+U143+U141+U137+U134+U132</f>
        <v>3182597.27</v>
      </c>
      <c r="V156" s="2750">
        <f>S156+T156+U156</f>
        <v>20789697.459999997</v>
      </c>
      <c r="W156" s="2746"/>
      <c r="X156" s="2744"/>
      <c r="Y156" s="2745">
        <f>Y153+Y152+Y150+Y149+Y147+Y146+Y143+Y141+Y137+Y134+Y132</f>
        <v>0</v>
      </c>
      <c r="Z156" s="2750">
        <f>W156+X156+Y156</f>
        <v>0</v>
      </c>
      <c r="AA156" s="2628">
        <f t="shared" si="91"/>
        <v>0</v>
      </c>
      <c r="AB156" s="1350"/>
      <c r="AC156" s="1353">
        <f>SUM(W155:Y155)</f>
        <v>61050388</v>
      </c>
      <c r="AD156" s="1349">
        <f t="shared" si="90"/>
        <v>0</v>
      </c>
      <c r="AE156" s="209" t="e">
        <f>S156-#REF!</f>
        <v>#REF!</v>
      </c>
      <c r="AG156" s="209">
        <f>AG155-V155</f>
        <v>0</v>
      </c>
    </row>
    <row r="157" spans="1:33" ht="34.15" customHeight="1" thickBot="1">
      <c r="A157" s="2751"/>
      <c r="B157" s="2752"/>
      <c r="C157" s="2753" t="s">
        <v>1458</v>
      </c>
      <c r="D157" s="2754">
        <f>D155+D156</f>
        <v>32844840.390000001</v>
      </c>
      <c r="E157" s="2755" t="e">
        <f>E155+E156</f>
        <v>#REF!</v>
      </c>
      <c r="F157" s="2755"/>
      <c r="G157" s="2756">
        <f>G155+G156</f>
        <v>3384728.3400000003</v>
      </c>
      <c r="H157" s="2757" t="e">
        <f>H155+H156</f>
        <v>#REF!</v>
      </c>
      <c r="I157" s="2758">
        <f>I155+I156</f>
        <v>36264474.609999999</v>
      </c>
      <c r="J157" s="2755" t="e">
        <f>J155+J156</f>
        <v>#REF!</v>
      </c>
      <c r="K157" s="2755"/>
      <c r="L157" s="2756" t="e">
        <f>L155+L156</f>
        <v>#REF!</v>
      </c>
      <c r="M157" s="2757" t="e">
        <f>M155+M156</f>
        <v>#REF!</v>
      </c>
      <c r="N157" s="2758"/>
      <c r="O157" s="2755"/>
      <c r="P157" s="2755"/>
      <c r="Q157" s="2756"/>
      <c r="R157" s="2759" t="e">
        <f t="shared" ref="R157:V157" si="101">R155+R156</f>
        <v>#REF!</v>
      </c>
      <c r="S157" s="2758">
        <f t="shared" si="101"/>
        <v>50927809.600000001</v>
      </c>
      <c r="T157" s="2755">
        <f t="shared" si="101"/>
        <v>36078968.189999998</v>
      </c>
      <c r="U157" s="2756">
        <f t="shared" si="101"/>
        <v>9818937.2699999996</v>
      </c>
      <c r="V157" s="2760">
        <f t="shared" si="101"/>
        <v>96825715.059999987</v>
      </c>
      <c r="W157" s="2758"/>
      <c r="X157" s="2755"/>
      <c r="Y157" s="2756"/>
      <c r="Z157" s="2760"/>
      <c r="AA157" s="2761"/>
      <c r="AB157" s="1350"/>
      <c r="AC157" s="1353"/>
      <c r="AD157" s="1349">
        <f>W157+X157+Y157-Z157</f>
        <v>0</v>
      </c>
      <c r="AE157" s="209" t="e">
        <f>S157-#REF!</f>
        <v>#REF!</v>
      </c>
    </row>
    <row r="158" spans="1:33" ht="20.25" thickTop="1">
      <c r="W158" s="1761">
        <f>'[1]PRIH REBALANS'!$AG$229</f>
        <v>45488110</v>
      </c>
      <c r="X158" s="1761">
        <f>'[1]PRIH REBALANS'!$AH$229</f>
        <v>13789967</v>
      </c>
      <c r="Y158" s="1761">
        <f>'[1]PRIH REBALANS'!$AJ$229</f>
        <v>1772311</v>
      </c>
      <c r="Z158" s="1761">
        <f>'[1]PRIH REBALANS'!$AK$229</f>
        <v>61050388</v>
      </c>
      <c r="AA158" s="2762"/>
      <c r="AB158" s="1760"/>
    </row>
    <row r="159" spans="1:33">
      <c r="S159" s="274">
        <f>'Rashodi i izdaci-opći dio'!H47</f>
        <v>50927810</v>
      </c>
      <c r="T159" s="274">
        <f>'[2]PRIH REBALANS'!$AH$249</f>
        <v>18471868</v>
      </c>
      <c r="U159" s="274">
        <f>'[2]PRIH REBALANS'!$AJ$249</f>
        <v>6636340</v>
      </c>
      <c r="V159" s="274">
        <f>S159+T159+U159</f>
        <v>76036018</v>
      </c>
      <c r="W159" s="1761">
        <f>W155-W158</f>
        <v>0</v>
      </c>
      <c r="X159" s="1761">
        <f t="shared" ref="X159:Z159" si="102">X155-X158</f>
        <v>0</v>
      </c>
      <c r="Y159" s="1761">
        <f t="shared" si="102"/>
        <v>0</v>
      </c>
      <c r="Z159" s="1761">
        <f t="shared" si="102"/>
        <v>0</v>
      </c>
      <c r="AA159" s="1761"/>
      <c r="AB159" s="1761"/>
    </row>
    <row r="160" spans="1:33">
      <c r="S160" s="274">
        <f>S157-S159</f>
        <v>-0.39999999850988388</v>
      </c>
      <c r="T160" s="274">
        <f t="shared" ref="T160" si="103">T157-T159</f>
        <v>17607100.189999998</v>
      </c>
      <c r="U160" s="274">
        <f>U157-U159</f>
        <v>3182597.2699999996</v>
      </c>
      <c r="V160" s="274">
        <f t="shared" ref="V160" si="104">V157-V159</f>
        <v>20789697.059999987</v>
      </c>
      <c r="W160" s="274"/>
      <c r="X160" s="274"/>
      <c r="Y160" s="274"/>
      <c r="Z160" s="274"/>
    </row>
    <row r="161" spans="19:26">
      <c r="S161" s="274">
        <f>'Prihodi-opći dio'!C211</f>
        <v>50927810</v>
      </c>
      <c r="T161" s="274">
        <f>'Prihodi-opći dio'!D211</f>
        <v>18471868.000000004</v>
      </c>
      <c r="U161" s="274">
        <f>'[2]PRIH REBALANS'!$AJ$249</f>
        <v>6636340</v>
      </c>
      <c r="V161" s="274">
        <f>V159+V160</f>
        <v>96825715.059999987</v>
      </c>
      <c r="W161" s="274"/>
      <c r="X161" s="274"/>
      <c r="Y161" s="274"/>
      <c r="Z161" s="274"/>
    </row>
    <row r="162" spans="19:26">
      <c r="S162" s="274">
        <f>S159+S160-S161</f>
        <v>-0.39999999850988388</v>
      </c>
      <c r="T162" s="274">
        <f t="shared" ref="T162:V162" si="105">T159+T160-T161</f>
        <v>17607100.189999994</v>
      </c>
      <c r="U162" s="274">
        <f t="shared" si="105"/>
        <v>3182597.2699999996</v>
      </c>
      <c r="V162" s="274">
        <f t="shared" si="105"/>
        <v>0</v>
      </c>
      <c r="W162" s="274"/>
      <c r="X162" s="274"/>
      <c r="Y162" s="274"/>
      <c r="Z162" s="274"/>
    </row>
    <row r="163" spans="19:26">
      <c r="S163" s="274">
        <f>'Prihodi-opći dio'!D214</f>
        <v>17607099.890000001</v>
      </c>
      <c r="U163" s="274">
        <f>'Prihodi-opći dio'!E214</f>
        <v>3182598</v>
      </c>
    </row>
  </sheetData>
  <mergeCells count="10">
    <mergeCell ref="A1:V1"/>
    <mergeCell ref="AA3:AA4"/>
    <mergeCell ref="I3:M3"/>
    <mergeCell ref="N3:R3"/>
    <mergeCell ref="S3:V3"/>
    <mergeCell ref="A3:A4"/>
    <mergeCell ref="B3:B4"/>
    <mergeCell ref="C3:C4"/>
    <mergeCell ref="D3:H3"/>
    <mergeCell ref="W3:Z3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  <headerFooter>
    <oddFooter>&amp;L&amp;16&amp;K00-022Budžet Grada Mostara za 2022.g.- Prihodi i primici  opšti dio&amp;C&amp;16&amp;P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/>
  <dimension ref="A1:J62"/>
  <sheetViews>
    <sheetView view="pageBreakPreview" zoomScale="60" zoomScaleNormal="100" workbookViewId="0">
      <selection activeCell="J4" sqref="J4"/>
    </sheetView>
  </sheetViews>
  <sheetFormatPr defaultRowHeight="15"/>
  <cols>
    <col min="3" max="3" width="25.28515625" customWidth="1"/>
    <col min="4" max="9" width="13.7109375" customWidth="1"/>
    <col min="10" max="10" width="15.42578125" customWidth="1"/>
  </cols>
  <sheetData>
    <row r="1" spans="1:10" ht="16.5" thickBot="1">
      <c r="A1" s="323"/>
      <c r="B1" s="323"/>
      <c r="C1" s="481" t="s">
        <v>616</v>
      </c>
      <c r="D1" s="511"/>
      <c r="E1" s="511"/>
      <c r="F1" s="323"/>
      <c r="G1" s="503"/>
      <c r="H1" s="530" t="s">
        <v>1346</v>
      </c>
      <c r="I1" s="323"/>
    </row>
    <row r="2" spans="1:10" ht="96" thickTop="1">
      <c r="A2" s="3330" t="s">
        <v>1226</v>
      </c>
      <c r="B2" s="3331"/>
      <c r="C2" s="3332"/>
      <c r="D2" s="531" t="s">
        <v>3</v>
      </c>
      <c r="E2" s="532" t="s">
        <v>1224</v>
      </c>
      <c r="F2" s="551" t="s">
        <v>49</v>
      </c>
      <c r="G2" s="547" t="s">
        <v>1343</v>
      </c>
      <c r="H2" s="532" t="s">
        <v>1344</v>
      </c>
      <c r="I2" s="525" t="s">
        <v>1345</v>
      </c>
    </row>
    <row r="3" spans="1:10" ht="47.25">
      <c r="A3" s="512"/>
      <c r="B3" s="513"/>
      <c r="C3" s="514" t="s">
        <v>616</v>
      </c>
      <c r="D3" s="533">
        <f>SUM(D4,D13,D20,D27,D34,D41,D49,D56)</f>
        <v>10495373.48</v>
      </c>
      <c r="E3" s="534">
        <f>SUM(E4+E13+E20+E27+E34+E41+E49+E56)</f>
        <v>6438380.0300000003</v>
      </c>
      <c r="F3" s="522">
        <f>E3/D3*100</f>
        <v>61.344934911263394</v>
      </c>
      <c r="G3" s="533">
        <f>SUM(G4,G13,G20,G27,G34,G41,G49,G56)</f>
        <v>4780540.4800000004</v>
      </c>
      <c r="H3" s="534">
        <f>SUM(H4,H13,H20,H27,H34,H41,H49,H56)</f>
        <v>6220218</v>
      </c>
      <c r="I3" s="526">
        <f>SUM(I4,I13,I20,I27,I34,I41,I49,I56)</f>
        <v>11000758.48</v>
      </c>
      <c r="J3" s="209">
        <f>'[3]PRIH REBALANS'!$AK$89</f>
        <v>11005759</v>
      </c>
    </row>
    <row r="4" spans="1:10" ht="15.75">
      <c r="A4" s="552">
        <v>223</v>
      </c>
      <c r="B4" s="553"/>
      <c r="C4" s="519" t="s">
        <v>617</v>
      </c>
      <c r="D4" s="535">
        <f t="shared" ref="D4" si="0">SUM(D5:D12)</f>
        <v>941741</v>
      </c>
      <c r="E4" s="536">
        <f>SUM(E5:E12)</f>
        <v>427830.85</v>
      </c>
      <c r="F4" s="523">
        <f>E4/D4*100</f>
        <v>45.429778463505357</v>
      </c>
      <c r="G4" s="535">
        <f t="shared" ref="G4:I4" si="1">SUM(G5:G12)</f>
        <v>368971</v>
      </c>
      <c r="H4" s="536">
        <f t="shared" si="1"/>
        <v>572770</v>
      </c>
      <c r="I4" s="527">
        <f t="shared" si="1"/>
        <v>941741</v>
      </c>
    </row>
    <row r="5" spans="1:10" ht="31.5">
      <c r="A5" s="554"/>
      <c r="B5" s="555">
        <v>721211</v>
      </c>
      <c r="C5" s="520" t="s">
        <v>90</v>
      </c>
      <c r="D5" s="537">
        <v>70</v>
      </c>
      <c r="E5" s="538">
        <v>20.34</v>
      </c>
      <c r="F5" s="524">
        <f t="shared" ref="F5:F61" si="2">E5/D5*100</f>
        <v>29.05714285714286</v>
      </c>
      <c r="G5" s="537"/>
      <c r="H5" s="538">
        <v>70</v>
      </c>
      <c r="I5" s="528">
        <f t="shared" ref="I5:I61" si="3">H5+G5</f>
        <v>70</v>
      </c>
    </row>
    <row r="6" spans="1:10" ht="31.5">
      <c r="A6" s="554"/>
      <c r="B6" s="556">
        <v>722431</v>
      </c>
      <c r="C6" s="520" t="s">
        <v>91</v>
      </c>
      <c r="D6" s="537">
        <v>200700</v>
      </c>
      <c r="E6" s="538">
        <v>9874</v>
      </c>
      <c r="F6" s="524">
        <f t="shared" si="2"/>
        <v>4.9197807673143998</v>
      </c>
      <c r="G6" s="537"/>
      <c r="H6" s="538">
        <v>200700</v>
      </c>
      <c r="I6" s="528">
        <f t="shared" si="3"/>
        <v>200700</v>
      </c>
    </row>
    <row r="7" spans="1:10" ht="47.25">
      <c r="A7" s="554"/>
      <c r="B7" s="556">
        <v>722431</v>
      </c>
      <c r="C7" s="520" t="s">
        <v>1087</v>
      </c>
      <c r="D7" s="537">
        <v>1140</v>
      </c>
      <c r="E7" s="538">
        <v>1139.71</v>
      </c>
      <c r="F7" s="524">
        <f t="shared" si="2"/>
        <v>99.974561403508773</v>
      </c>
      <c r="G7" s="537">
        <v>1140</v>
      </c>
      <c r="H7" s="538"/>
      <c r="I7" s="528">
        <f t="shared" si="3"/>
        <v>1140</v>
      </c>
    </row>
    <row r="8" spans="1:10" ht="31.5">
      <c r="A8" s="554"/>
      <c r="B8" s="557">
        <v>722433</v>
      </c>
      <c r="C8" s="520" t="s">
        <v>92</v>
      </c>
      <c r="D8" s="537">
        <v>10000</v>
      </c>
      <c r="E8" s="538"/>
      <c r="F8" s="524">
        <f t="shared" si="2"/>
        <v>0</v>
      </c>
      <c r="G8" s="537"/>
      <c r="H8" s="538">
        <v>10000</v>
      </c>
      <c r="I8" s="528">
        <f t="shared" si="3"/>
        <v>10000</v>
      </c>
    </row>
    <row r="9" spans="1:10" ht="31.5">
      <c r="A9" s="554"/>
      <c r="B9" s="557">
        <v>722434</v>
      </c>
      <c r="C9" s="520" t="s">
        <v>93</v>
      </c>
      <c r="D9" s="537">
        <v>12000</v>
      </c>
      <c r="E9" s="538">
        <v>5562.8</v>
      </c>
      <c r="F9" s="524">
        <f t="shared" si="2"/>
        <v>46.356666666666669</v>
      </c>
      <c r="G9" s="537"/>
      <c r="H9" s="538">
        <v>12000</v>
      </c>
      <c r="I9" s="528">
        <f t="shared" si="3"/>
        <v>12000</v>
      </c>
    </row>
    <row r="10" spans="1:10" ht="31.5">
      <c r="A10" s="554"/>
      <c r="B10" s="557">
        <v>722434</v>
      </c>
      <c r="C10" s="520" t="s">
        <v>1088</v>
      </c>
      <c r="D10" s="537">
        <v>22243</v>
      </c>
      <c r="E10" s="538">
        <v>22243</v>
      </c>
      <c r="F10" s="524">
        <f t="shared" si="2"/>
        <v>100</v>
      </c>
      <c r="G10" s="537">
        <v>22243</v>
      </c>
      <c r="H10" s="538"/>
      <c r="I10" s="528">
        <f t="shared" si="3"/>
        <v>22243</v>
      </c>
    </row>
    <row r="11" spans="1:10" ht="31.5">
      <c r="A11" s="558"/>
      <c r="B11" s="556">
        <v>722435</v>
      </c>
      <c r="C11" s="520" t="s">
        <v>94</v>
      </c>
      <c r="D11" s="537">
        <v>350000</v>
      </c>
      <c r="E11" s="538">
        <v>43403</v>
      </c>
      <c r="F11" s="524">
        <f t="shared" si="2"/>
        <v>12.400857142857143</v>
      </c>
      <c r="G11" s="537"/>
      <c r="H11" s="538">
        <v>350000</v>
      </c>
      <c r="I11" s="528">
        <f t="shared" si="3"/>
        <v>350000</v>
      </c>
    </row>
    <row r="12" spans="1:10" ht="31.5">
      <c r="A12" s="558"/>
      <c r="B12" s="556">
        <v>722435</v>
      </c>
      <c r="C12" s="520" t="s">
        <v>1186</v>
      </c>
      <c r="D12" s="537">
        <v>345588</v>
      </c>
      <c r="E12" s="538">
        <v>345588</v>
      </c>
      <c r="F12" s="524">
        <f t="shared" si="2"/>
        <v>100</v>
      </c>
      <c r="G12" s="537">
        <v>345588</v>
      </c>
      <c r="H12" s="538"/>
      <c r="I12" s="528">
        <f t="shared" si="3"/>
        <v>345588</v>
      </c>
    </row>
    <row r="13" spans="1:10" ht="15.75">
      <c r="A13" s="552">
        <v>223</v>
      </c>
      <c r="B13" s="559"/>
      <c r="C13" s="519" t="s">
        <v>618</v>
      </c>
      <c r="D13" s="535">
        <f>SUM(D14:D18,D19)</f>
        <v>1694285</v>
      </c>
      <c r="E13" s="536">
        <f>SUM(E14:E19)</f>
        <v>540036.44000000006</v>
      </c>
      <c r="F13" s="523">
        <f t="shared" si="2"/>
        <v>31.874002307758143</v>
      </c>
      <c r="G13" s="535">
        <f>SUM(G14:G18,G19)</f>
        <v>479220</v>
      </c>
      <c r="H13" s="536">
        <f>SUM(H14:H18,H19)</f>
        <v>1215065</v>
      </c>
      <c r="I13" s="527">
        <f>SUM(I14:I18,I19)</f>
        <v>1694285</v>
      </c>
    </row>
    <row r="14" spans="1:10" ht="31.5">
      <c r="A14" s="554"/>
      <c r="B14" s="555">
        <v>721211</v>
      </c>
      <c r="C14" s="520" t="s">
        <v>90</v>
      </c>
      <c r="D14" s="539">
        <v>65</v>
      </c>
      <c r="E14" s="540">
        <v>24.94</v>
      </c>
      <c r="F14" s="524">
        <f t="shared" si="2"/>
        <v>38.369230769230775</v>
      </c>
      <c r="G14" s="548"/>
      <c r="H14" s="540">
        <v>65</v>
      </c>
      <c r="I14" s="528">
        <f t="shared" si="3"/>
        <v>65</v>
      </c>
    </row>
    <row r="15" spans="1:10" ht="31.5">
      <c r="A15" s="554"/>
      <c r="B15" s="556">
        <v>722431</v>
      </c>
      <c r="C15" s="520" t="s">
        <v>96</v>
      </c>
      <c r="D15" s="539">
        <v>10000</v>
      </c>
      <c r="E15" s="540">
        <v>1704.96</v>
      </c>
      <c r="F15" s="524">
        <f t="shared" si="2"/>
        <v>17.049600000000002</v>
      </c>
      <c r="G15" s="548"/>
      <c r="H15" s="540">
        <v>10000</v>
      </c>
      <c r="I15" s="528">
        <f t="shared" si="3"/>
        <v>10000</v>
      </c>
    </row>
    <row r="16" spans="1:10" ht="31.5">
      <c r="A16" s="554"/>
      <c r="B16" s="557">
        <v>722433</v>
      </c>
      <c r="C16" s="520" t="s">
        <v>97</v>
      </c>
      <c r="D16" s="539">
        <v>600000</v>
      </c>
      <c r="E16" s="540">
        <v>33787.760000000002</v>
      </c>
      <c r="F16" s="524">
        <f t="shared" si="2"/>
        <v>5.6312933333333337</v>
      </c>
      <c r="G16" s="548"/>
      <c r="H16" s="540">
        <v>600000</v>
      </c>
      <c r="I16" s="528">
        <f t="shared" si="3"/>
        <v>600000</v>
      </c>
    </row>
    <row r="17" spans="1:9" ht="31.5">
      <c r="A17" s="554"/>
      <c r="B17" s="557">
        <v>722434</v>
      </c>
      <c r="C17" s="520" t="s">
        <v>98</v>
      </c>
      <c r="D17" s="539">
        <v>5000</v>
      </c>
      <c r="E17" s="540">
        <v>738.58</v>
      </c>
      <c r="F17" s="524">
        <f t="shared" si="2"/>
        <v>14.771600000000001</v>
      </c>
      <c r="G17" s="539"/>
      <c r="H17" s="540">
        <v>5000</v>
      </c>
      <c r="I17" s="528">
        <f t="shared" si="3"/>
        <v>5000</v>
      </c>
    </row>
    <row r="18" spans="1:9" ht="31.5">
      <c r="A18" s="554"/>
      <c r="B18" s="556">
        <v>722435</v>
      </c>
      <c r="C18" s="520" t="s">
        <v>94</v>
      </c>
      <c r="D18" s="539">
        <v>600000</v>
      </c>
      <c r="E18" s="540">
        <v>19559.560000000001</v>
      </c>
      <c r="F18" s="524">
        <f t="shared" si="2"/>
        <v>3.2599266666666669</v>
      </c>
      <c r="G18" s="548"/>
      <c r="H18" s="540">
        <v>600000</v>
      </c>
      <c r="I18" s="528">
        <f t="shared" si="3"/>
        <v>600000</v>
      </c>
    </row>
    <row r="19" spans="1:9" ht="31.5">
      <c r="A19" s="554"/>
      <c r="B19" s="556" t="s">
        <v>1089</v>
      </c>
      <c r="C19" s="520" t="s">
        <v>1086</v>
      </c>
      <c r="D19" s="539">
        <v>479220</v>
      </c>
      <c r="E19" s="538">
        <v>484220.64</v>
      </c>
      <c r="F19" s="524"/>
      <c r="G19" s="539">
        <v>479220</v>
      </c>
      <c r="H19" s="540"/>
      <c r="I19" s="528">
        <f t="shared" si="3"/>
        <v>479220</v>
      </c>
    </row>
    <row r="20" spans="1:9" ht="15.75">
      <c r="A20" s="552">
        <v>223</v>
      </c>
      <c r="B20" s="560"/>
      <c r="C20" s="519" t="s">
        <v>619</v>
      </c>
      <c r="D20" s="535">
        <f>SUM(D21:D26)</f>
        <v>738768</v>
      </c>
      <c r="E20" s="536">
        <f>SUM(E21:E26)</f>
        <v>461504.34</v>
      </c>
      <c r="F20" s="523">
        <f t="shared" si="2"/>
        <v>62.469454551361196</v>
      </c>
      <c r="G20" s="535">
        <f>SUM(G21:G26)</f>
        <v>324728</v>
      </c>
      <c r="H20" s="536">
        <f>SUM(H21:H26)</f>
        <v>414040</v>
      </c>
      <c r="I20" s="527">
        <f>SUM(I21:I26)</f>
        <v>738768</v>
      </c>
    </row>
    <row r="21" spans="1:9" ht="31.5">
      <c r="A21" s="554"/>
      <c r="B21" s="555">
        <v>721211</v>
      </c>
      <c r="C21" s="520" t="s">
        <v>90</v>
      </c>
      <c r="D21" s="539">
        <v>40</v>
      </c>
      <c r="E21" s="540">
        <v>14.9</v>
      </c>
      <c r="F21" s="524">
        <f t="shared" si="2"/>
        <v>37.25</v>
      </c>
      <c r="G21" s="548"/>
      <c r="H21" s="540">
        <v>40</v>
      </c>
      <c r="I21" s="528">
        <f t="shared" si="3"/>
        <v>40</v>
      </c>
    </row>
    <row r="22" spans="1:9" ht="31.5">
      <c r="A22" s="554"/>
      <c r="B22" s="556">
        <v>722431</v>
      </c>
      <c r="C22" s="520" t="s">
        <v>91</v>
      </c>
      <c r="D22" s="539">
        <v>158000</v>
      </c>
      <c r="E22" s="540">
        <v>42939.040000000001</v>
      </c>
      <c r="F22" s="524">
        <f t="shared" si="2"/>
        <v>27.176607594936709</v>
      </c>
      <c r="G22" s="548"/>
      <c r="H22" s="540">
        <v>158000</v>
      </c>
      <c r="I22" s="528">
        <f t="shared" si="3"/>
        <v>158000</v>
      </c>
    </row>
    <row r="23" spans="1:9" ht="31.5">
      <c r="A23" s="554"/>
      <c r="B23" s="557">
        <v>722433</v>
      </c>
      <c r="C23" s="520" t="s">
        <v>100</v>
      </c>
      <c r="D23" s="539">
        <v>4000</v>
      </c>
      <c r="E23" s="540">
        <v>27257.24</v>
      </c>
      <c r="F23" s="524">
        <f t="shared" si="2"/>
        <v>681.43100000000004</v>
      </c>
      <c r="G23" s="548"/>
      <c r="H23" s="540">
        <v>4000</v>
      </c>
      <c r="I23" s="528">
        <f t="shared" si="3"/>
        <v>4000</v>
      </c>
    </row>
    <row r="24" spans="1:9" ht="31.5">
      <c r="A24" s="554"/>
      <c r="B24" s="557">
        <v>722434</v>
      </c>
      <c r="C24" s="520" t="s">
        <v>101</v>
      </c>
      <c r="D24" s="539">
        <v>2000</v>
      </c>
      <c r="E24" s="540"/>
      <c r="F24" s="524">
        <f t="shared" si="2"/>
        <v>0</v>
      </c>
      <c r="G24" s="548"/>
      <c r="H24" s="540">
        <v>2000</v>
      </c>
      <c r="I24" s="528">
        <f t="shared" si="3"/>
        <v>2000</v>
      </c>
    </row>
    <row r="25" spans="1:9" ht="31.5">
      <c r="A25" s="554"/>
      <c r="B25" s="556">
        <v>722435</v>
      </c>
      <c r="C25" s="520" t="s">
        <v>102</v>
      </c>
      <c r="D25" s="537">
        <v>250000</v>
      </c>
      <c r="E25" s="538">
        <v>66565.16</v>
      </c>
      <c r="F25" s="524">
        <f t="shared" si="2"/>
        <v>26.626064</v>
      </c>
      <c r="G25" s="548"/>
      <c r="H25" s="538">
        <v>250000</v>
      </c>
      <c r="I25" s="528">
        <f t="shared" si="3"/>
        <v>250000</v>
      </c>
    </row>
    <row r="26" spans="1:9" ht="47.25">
      <c r="A26" s="554"/>
      <c r="B26" s="556" t="s">
        <v>1089</v>
      </c>
      <c r="C26" s="520" t="s">
        <v>1187</v>
      </c>
      <c r="D26" s="537">
        <v>324728</v>
      </c>
      <c r="E26" s="538">
        <v>324728</v>
      </c>
      <c r="F26" s="524">
        <f t="shared" si="2"/>
        <v>100</v>
      </c>
      <c r="G26" s="537">
        <v>324728</v>
      </c>
      <c r="H26" s="538"/>
      <c r="I26" s="528">
        <f t="shared" si="3"/>
        <v>324728</v>
      </c>
    </row>
    <row r="27" spans="1:9" ht="15.75">
      <c r="A27" s="552">
        <v>223</v>
      </c>
      <c r="B27" s="559"/>
      <c r="C27" s="519" t="s">
        <v>620</v>
      </c>
      <c r="D27" s="535">
        <f>SUM(D28:D33)</f>
        <v>254264.48</v>
      </c>
      <c r="E27" s="536">
        <f>SUM(E28:E33)</f>
        <v>288313.83999999997</v>
      </c>
      <c r="F27" s="523">
        <f t="shared" si="2"/>
        <v>113.39131600292734</v>
      </c>
      <c r="G27" s="535">
        <f>SUM(G28:G33)</f>
        <v>166249.48000000001</v>
      </c>
      <c r="H27" s="536">
        <f>SUM(H28:H33)</f>
        <v>193025</v>
      </c>
      <c r="I27" s="527">
        <f>SUM(I28:I33)</f>
        <v>359274.48</v>
      </c>
    </row>
    <row r="28" spans="1:9" ht="31.5">
      <c r="A28" s="554"/>
      <c r="B28" s="555">
        <v>721211</v>
      </c>
      <c r="C28" s="520" t="s">
        <v>90</v>
      </c>
      <c r="D28" s="539">
        <v>15</v>
      </c>
      <c r="E28" s="540">
        <v>11.49</v>
      </c>
      <c r="F28" s="524">
        <f t="shared" si="2"/>
        <v>76.599999999999994</v>
      </c>
      <c r="G28" s="548"/>
      <c r="H28" s="538">
        <v>25</v>
      </c>
      <c r="I28" s="528">
        <f t="shared" si="3"/>
        <v>25</v>
      </c>
    </row>
    <row r="29" spans="1:9" ht="31.5">
      <c r="A29" s="554"/>
      <c r="B29" s="556">
        <v>722431</v>
      </c>
      <c r="C29" s="520" t="s">
        <v>104</v>
      </c>
      <c r="D29" s="537">
        <v>3000</v>
      </c>
      <c r="E29" s="538"/>
      <c r="F29" s="524">
        <f t="shared" si="2"/>
        <v>0</v>
      </c>
      <c r="G29" s="548"/>
      <c r="H29" s="538">
        <v>3000</v>
      </c>
      <c r="I29" s="528">
        <f t="shared" si="3"/>
        <v>3000</v>
      </c>
    </row>
    <row r="30" spans="1:9" ht="31.5">
      <c r="A30" s="554"/>
      <c r="B30" s="557">
        <v>722433</v>
      </c>
      <c r="C30" s="520" t="s">
        <v>105</v>
      </c>
      <c r="D30" s="541">
        <v>5000</v>
      </c>
      <c r="E30" s="542">
        <v>26239.85</v>
      </c>
      <c r="F30" s="524">
        <f t="shared" si="2"/>
        <v>524.79699999999991</v>
      </c>
      <c r="G30" s="548"/>
      <c r="H30" s="538">
        <v>35000</v>
      </c>
      <c r="I30" s="528">
        <f t="shared" si="3"/>
        <v>35000</v>
      </c>
    </row>
    <row r="31" spans="1:9" ht="31.5">
      <c r="A31" s="554"/>
      <c r="B31" s="557">
        <v>722434</v>
      </c>
      <c r="C31" s="520" t="s">
        <v>101</v>
      </c>
      <c r="D31" s="541">
        <v>5000</v>
      </c>
      <c r="E31" s="542"/>
      <c r="F31" s="524">
        <f t="shared" si="2"/>
        <v>0</v>
      </c>
      <c r="G31" s="548"/>
      <c r="H31" s="538">
        <v>5000</v>
      </c>
      <c r="I31" s="528">
        <f t="shared" si="3"/>
        <v>5000</v>
      </c>
    </row>
    <row r="32" spans="1:9" ht="31.5">
      <c r="A32" s="554"/>
      <c r="B32" s="556">
        <v>722435</v>
      </c>
      <c r="C32" s="520" t="s">
        <v>106</v>
      </c>
      <c r="D32" s="541">
        <v>75000</v>
      </c>
      <c r="E32" s="542">
        <v>95813.5</v>
      </c>
      <c r="F32" s="524">
        <f t="shared" si="2"/>
        <v>127.75133333333332</v>
      </c>
      <c r="G32" s="548"/>
      <c r="H32" s="538">
        <v>150000</v>
      </c>
      <c r="I32" s="528">
        <f t="shared" si="3"/>
        <v>150000</v>
      </c>
    </row>
    <row r="33" spans="1:9" ht="47.25">
      <c r="A33" s="554"/>
      <c r="B33" s="556">
        <v>722435</v>
      </c>
      <c r="C33" s="520" t="s">
        <v>1188</v>
      </c>
      <c r="D33" s="537">
        <v>166249.48000000001</v>
      </c>
      <c r="E33" s="538">
        <v>166249</v>
      </c>
      <c r="F33" s="524">
        <f t="shared" si="2"/>
        <v>99.99971127729242</v>
      </c>
      <c r="G33" s="537">
        <v>166249.48000000001</v>
      </c>
      <c r="H33" s="538"/>
      <c r="I33" s="528">
        <f t="shared" si="3"/>
        <v>166249.48000000001</v>
      </c>
    </row>
    <row r="34" spans="1:9" ht="15.75">
      <c r="A34" s="552">
        <v>223</v>
      </c>
      <c r="B34" s="559"/>
      <c r="C34" s="519" t="s">
        <v>621</v>
      </c>
      <c r="D34" s="535">
        <f>SUM(D35:D40)</f>
        <v>2474553</v>
      </c>
      <c r="E34" s="536">
        <f>SUM(E35:E40)</f>
        <v>1659126.58</v>
      </c>
      <c r="F34" s="523">
        <f t="shared" si="2"/>
        <v>67.047526563383371</v>
      </c>
      <c r="G34" s="535">
        <f>SUM(G35:G40)</f>
        <v>949483</v>
      </c>
      <c r="H34" s="536">
        <f>SUM(H35:H40)</f>
        <v>1550113</v>
      </c>
      <c r="I34" s="527">
        <f>SUM(I35:I40)</f>
        <v>2499596</v>
      </c>
    </row>
    <row r="35" spans="1:9" ht="31.5">
      <c r="A35" s="554"/>
      <c r="B35" s="555">
        <v>721211</v>
      </c>
      <c r="C35" s="520" t="s">
        <v>90</v>
      </c>
      <c r="D35" s="539">
        <v>70</v>
      </c>
      <c r="E35" s="540">
        <v>53.49</v>
      </c>
      <c r="F35" s="524">
        <f t="shared" si="2"/>
        <v>76.414285714285711</v>
      </c>
      <c r="G35" s="548"/>
      <c r="H35" s="538">
        <v>113</v>
      </c>
      <c r="I35" s="528">
        <f t="shared" si="3"/>
        <v>113</v>
      </c>
    </row>
    <row r="36" spans="1:9" ht="31.5">
      <c r="A36" s="554"/>
      <c r="B36" s="556">
        <v>722431</v>
      </c>
      <c r="C36" s="520" t="s">
        <v>91</v>
      </c>
      <c r="D36" s="539">
        <v>5000</v>
      </c>
      <c r="E36" s="540">
        <v>21312</v>
      </c>
      <c r="F36" s="524">
        <f t="shared" si="2"/>
        <v>426.24000000000007</v>
      </c>
      <c r="G36" s="548"/>
      <c r="H36" s="538">
        <v>30000</v>
      </c>
      <c r="I36" s="528">
        <f t="shared" si="3"/>
        <v>30000</v>
      </c>
    </row>
    <row r="37" spans="1:9" ht="31.5">
      <c r="A37" s="554"/>
      <c r="B37" s="557">
        <v>722433</v>
      </c>
      <c r="C37" s="520" t="s">
        <v>100</v>
      </c>
      <c r="D37" s="539">
        <v>550000</v>
      </c>
      <c r="E37" s="540">
        <v>400618.91</v>
      </c>
      <c r="F37" s="524">
        <f t="shared" si="2"/>
        <v>72.839801818181812</v>
      </c>
      <c r="G37" s="548"/>
      <c r="H37" s="538">
        <v>550000</v>
      </c>
      <c r="I37" s="528">
        <f t="shared" si="3"/>
        <v>550000</v>
      </c>
    </row>
    <row r="38" spans="1:9" ht="31.5">
      <c r="A38" s="554"/>
      <c r="B38" s="557">
        <v>722434</v>
      </c>
      <c r="C38" s="520" t="s">
        <v>101</v>
      </c>
      <c r="D38" s="539">
        <v>20000</v>
      </c>
      <c r="E38" s="540"/>
      <c r="F38" s="524">
        <f t="shared" si="2"/>
        <v>0</v>
      </c>
      <c r="G38" s="548"/>
      <c r="H38" s="538">
        <v>20000</v>
      </c>
      <c r="I38" s="528">
        <f t="shared" si="3"/>
        <v>20000</v>
      </c>
    </row>
    <row r="39" spans="1:9" ht="31.5">
      <c r="A39" s="554"/>
      <c r="B39" s="556">
        <v>722435</v>
      </c>
      <c r="C39" s="520" t="s">
        <v>102</v>
      </c>
      <c r="D39" s="543">
        <v>950000</v>
      </c>
      <c r="E39" s="544">
        <v>287659.40000000002</v>
      </c>
      <c r="F39" s="524">
        <f t="shared" si="2"/>
        <v>30.279936842105265</v>
      </c>
      <c r="G39" s="548"/>
      <c r="H39" s="549">
        <v>950000</v>
      </c>
      <c r="I39" s="528">
        <f t="shared" si="3"/>
        <v>950000</v>
      </c>
    </row>
    <row r="40" spans="1:9" ht="47.25">
      <c r="A40" s="554"/>
      <c r="B40" s="556" t="s">
        <v>1089</v>
      </c>
      <c r="C40" s="520" t="s">
        <v>1189</v>
      </c>
      <c r="D40" s="537">
        <v>949483</v>
      </c>
      <c r="E40" s="538">
        <v>949482.78</v>
      </c>
      <c r="F40" s="524">
        <f t="shared" si="2"/>
        <v>99.999976829495623</v>
      </c>
      <c r="G40" s="537">
        <v>949483</v>
      </c>
      <c r="H40" s="538"/>
      <c r="I40" s="528">
        <f t="shared" si="3"/>
        <v>949483</v>
      </c>
    </row>
    <row r="41" spans="1:9" ht="15.75">
      <c r="A41" s="552">
        <v>223</v>
      </c>
      <c r="B41" s="559"/>
      <c r="C41" s="519" t="s">
        <v>622</v>
      </c>
      <c r="D41" s="535">
        <f>SUM(D42:D48)</f>
        <v>2397167</v>
      </c>
      <c r="E41" s="536">
        <f>SUM(E42:E48)</f>
        <v>1985058.9</v>
      </c>
      <c r="F41" s="523">
        <f t="shared" si="2"/>
        <v>82.808536076126529</v>
      </c>
      <c r="G41" s="535">
        <f>SUM(G42:G48)</f>
        <v>1866674</v>
      </c>
      <c r="H41" s="536">
        <f>SUM(H42:H48)</f>
        <v>810200</v>
      </c>
      <c r="I41" s="527">
        <f>SUM(I42:I48)</f>
        <v>2676874</v>
      </c>
    </row>
    <row r="42" spans="1:9" ht="31.5">
      <c r="A42" s="554"/>
      <c r="B42" s="555">
        <v>721211</v>
      </c>
      <c r="C42" s="520" t="s">
        <v>90</v>
      </c>
      <c r="D42" s="537">
        <v>200</v>
      </c>
      <c r="E42" s="538">
        <v>79.12</v>
      </c>
      <c r="F42" s="524">
        <f t="shared" si="2"/>
        <v>39.56</v>
      </c>
      <c r="G42" s="548"/>
      <c r="H42" s="538">
        <v>200</v>
      </c>
      <c r="I42" s="528">
        <f t="shared" si="3"/>
        <v>200</v>
      </c>
    </row>
    <row r="43" spans="1:9" ht="31.5">
      <c r="A43" s="554"/>
      <c r="B43" s="556">
        <v>722431</v>
      </c>
      <c r="C43" s="520" t="s">
        <v>96</v>
      </c>
      <c r="D43" s="537">
        <v>2500</v>
      </c>
      <c r="E43" s="538">
        <v>764.8</v>
      </c>
      <c r="F43" s="524">
        <f t="shared" si="2"/>
        <v>30.591999999999999</v>
      </c>
      <c r="G43" s="548"/>
      <c r="H43" s="538">
        <v>5000</v>
      </c>
      <c r="I43" s="528">
        <f t="shared" si="3"/>
        <v>5000</v>
      </c>
    </row>
    <row r="44" spans="1:9" ht="31.5">
      <c r="A44" s="554"/>
      <c r="B44" s="557">
        <v>722433</v>
      </c>
      <c r="C44" s="520" t="s">
        <v>100</v>
      </c>
      <c r="D44" s="537">
        <v>300000</v>
      </c>
      <c r="E44" s="538">
        <v>37768.11</v>
      </c>
      <c r="F44" s="524">
        <f t="shared" si="2"/>
        <v>12.589369999999999</v>
      </c>
      <c r="G44" s="548"/>
      <c r="H44" s="538">
        <v>300000</v>
      </c>
      <c r="I44" s="528">
        <f t="shared" si="3"/>
        <v>300000</v>
      </c>
    </row>
    <row r="45" spans="1:9" ht="31.5">
      <c r="A45" s="554"/>
      <c r="B45" s="557" t="s">
        <v>1240</v>
      </c>
      <c r="C45" s="520" t="s">
        <v>1191</v>
      </c>
      <c r="D45" s="537">
        <v>86452</v>
      </c>
      <c r="E45" s="538">
        <v>86451.73</v>
      </c>
      <c r="F45" s="524">
        <f t="shared" si="2"/>
        <v>99.999687687965562</v>
      </c>
      <c r="G45" s="537">
        <v>86452</v>
      </c>
      <c r="H45" s="538"/>
      <c r="I45" s="528">
        <f t="shared" si="3"/>
        <v>86452</v>
      </c>
    </row>
    <row r="46" spans="1:9" ht="31.5">
      <c r="A46" s="554"/>
      <c r="B46" s="557">
        <v>722434</v>
      </c>
      <c r="C46" s="520" t="s">
        <v>101</v>
      </c>
      <c r="D46" s="537">
        <v>5000</v>
      </c>
      <c r="E46" s="538"/>
      <c r="F46" s="524">
        <f t="shared" si="2"/>
        <v>0</v>
      </c>
      <c r="G46" s="548"/>
      <c r="H46" s="538">
        <v>5000</v>
      </c>
      <c r="I46" s="528">
        <f t="shared" si="3"/>
        <v>5000</v>
      </c>
    </row>
    <row r="47" spans="1:9" ht="31.5">
      <c r="A47" s="554"/>
      <c r="B47" s="556">
        <v>722435</v>
      </c>
      <c r="C47" s="520" t="s">
        <v>109</v>
      </c>
      <c r="D47" s="537">
        <v>500000</v>
      </c>
      <c r="E47" s="538">
        <v>79773.600000000006</v>
      </c>
      <c r="F47" s="524">
        <f t="shared" si="2"/>
        <v>15.95472</v>
      </c>
      <c r="G47" s="548"/>
      <c r="H47" s="538">
        <v>500000</v>
      </c>
      <c r="I47" s="528">
        <f t="shared" si="3"/>
        <v>500000</v>
      </c>
    </row>
    <row r="48" spans="1:9" ht="47.25">
      <c r="A48" s="554"/>
      <c r="B48" s="556">
        <v>722435</v>
      </c>
      <c r="C48" s="520" t="s">
        <v>1189</v>
      </c>
      <c r="D48" s="537">
        <v>1503015</v>
      </c>
      <c r="E48" s="538">
        <v>1780221.54</v>
      </c>
      <c r="F48" s="524">
        <f t="shared" si="2"/>
        <v>118.44336483667828</v>
      </c>
      <c r="G48" s="537">
        <v>1780222</v>
      </c>
      <c r="H48" s="538"/>
      <c r="I48" s="528">
        <f t="shared" si="3"/>
        <v>1780222</v>
      </c>
    </row>
    <row r="49" spans="1:9" ht="15.75">
      <c r="A49" s="552">
        <v>223</v>
      </c>
      <c r="B49" s="559"/>
      <c r="C49" s="519" t="s">
        <v>623</v>
      </c>
      <c r="D49" s="535">
        <f>SUM(D50:D55)</f>
        <v>796285</v>
      </c>
      <c r="E49" s="536">
        <f>SUM(E50:E55)</f>
        <v>745739.49</v>
      </c>
      <c r="F49" s="523">
        <f t="shared" si="2"/>
        <v>93.652334277300213</v>
      </c>
      <c r="G49" s="535">
        <f>SUM(G50:G55)</f>
        <v>625215</v>
      </c>
      <c r="H49" s="536">
        <f>SUM(H50:H55)</f>
        <v>221070</v>
      </c>
      <c r="I49" s="527">
        <f>SUM(I50:I55)</f>
        <v>846285</v>
      </c>
    </row>
    <row r="50" spans="1:9" ht="31.5">
      <c r="A50" s="554"/>
      <c r="B50" s="555">
        <v>721211</v>
      </c>
      <c r="C50" s="520" t="s">
        <v>90</v>
      </c>
      <c r="D50" s="539">
        <v>70</v>
      </c>
      <c r="E50" s="540">
        <v>34.08</v>
      </c>
      <c r="F50" s="524">
        <f t="shared" si="2"/>
        <v>48.685714285714283</v>
      </c>
      <c r="G50" s="548"/>
      <c r="H50" s="538">
        <v>70</v>
      </c>
      <c r="I50" s="528">
        <f t="shared" si="3"/>
        <v>70</v>
      </c>
    </row>
    <row r="51" spans="1:9" ht="31.5">
      <c r="A51" s="554"/>
      <c r="B51" s="556">
        <v>722431</v>
      </c>
      <c r="C51" s="520" t="s">
        <v>91</v>
      </c>
      <c r="D51" s="539">
        <v>1000</v>
      </c>
      <c r="E51" s="540"/>
      <c r="F51" s="524">
        <f t="shared" si="2"/>
        <v>0</v>
      </c>
      <c r="G51" s="548"/>
      <c r="H51" s="538">
        <v>1000</v>
      </c>
      <c r="I51" s="528">
        <f t="shared" si="3"/>
        <v>1000</v>
      </c>
    </row>
    <row r="52" spans="1:9" ht="31.5">
      <c r="A52" s="554"/>
      <c r="B52" s="557">
        <v>722433</v>
      </c>
      <c r="C52" s="520" t="s">
        <v>111</v>
      </c>
      <c r="D52" s="539">
        <v>10000</v>
      </c>
      <c r="E52" s="540"/>
      <c r="F52" s="524">
        <f t="shared" si="2"/>
        <v>0</v>
      </c>
      <c r="G52" s="548"/>
      <c r="H52" s="538">
        <v>10000</v>
      </c>
      <c r="I52" s="528">
        <f t="shared" si="3"/>
        <v>10000</v>
      </c>
    </row>
    <row r="53" spans="1:9" ht="31.5">
      <c r="A53" s="554"/>
      <c r="B53" s="557">
        <v>722434</v>
      </c>
      <c r="C53" s="520" t="s">
        <v>112</v>
      </c>
      <c r="D53" s="539">
        <v>10000</v>
      </c>
      <c r="E53" s="540"/>
      <c r="F53" s="524">
        <f t="shared" si="2"/>
        <v>0</v>
      </c>
      <c r="G53" s="548"/>
      <c r="H53" s="538">
        <v>10000</v>
      </c>
      <c r="I53" s="528">
        <f t="shared" si="3"/>
        <v>10000</v>
      </c>
    </row>
    <row r="54" spans="1:9" ht="47.25">
      <c r="A54" s="554"/>
      <c r="B54" s="557">
        <v>722435</v>
      </c>
      <c r="C54" s="520" t="s">
        <v>113</v>
      </c>
      <c r="D54" s="539">
        <v>150000</v>
      </c>
      <c r="E54" s="540">
        <v>120490.69</v>
      </c>
      <c r="F54" s="524">
        <f t="shared" si="2"/>
        <v>80.327126666666672</v>
      </c>
      <c r="G54" s="548"/>
      <c r="H54" s="538">
        <v>200000</v>
      </c>
      <c r="I54" s="528">
        <f t="shared" si="3"/>
        <v>200000</v>
      </c>
    </row>
    <row r="55" spans="1:9" ht="63">
      <c r="A55" s="554"/>
      <c r="B55" s="557" t="s">
        <v>1089</v>
      </c>
      <c r="C55" s="520" t="s">
        <v>1190</v>
      </c>
      <c r="D55" s="537">
        <v>625215</v>
      </c>
      <c r="E55" s="538">
        <v>625214.71999999997</v>
      </c>
      <c r="F55" s="524">
        <f t="shared" si="2"/>
        <v>99.999955215405905</v>
      </c>
      <c r="G55" s="537">
        <v>625215</v>
      </c>
      <c r="H55" s="538"/>
      <c r="I55" s="528">
        <f t="shared" si="3"/>
        <v>625215</v>
      </c>
    </row>
    <row r="56" spans="1:9" ht="15.75">
      <c r="A56" s="552">
        <v>223</v>
      </c>
      <c r="B56" s="561"/>
      <c r="C56" s="519" t="s">
        <v>624</v>
      </c>
      <c r="D56" s="535">
        <f>SUM(D57:D61)</f>
        <v>1198310</v>
      </c>
      <c r="E56" s="536">
        <f>SUM(E57:E61)</f>
        <v>330769.58999999997</v>
      </c>
      <c r="F56" s="523">
        <f t="shared" si="2"/>
        <v>27.603006734484399</v>
      </c>
      <c r="G56" s="533"/>
      <c r="H56" s="536">
        <f>SUM(H57:H61)</f>
        <v>1243935</v>
      </c>
      <c r="I56" s="527">
        <f>SUM(I57:I61)</f>
        <v>1243935</v>
      </c>
    </row>
    <row r="57" spans="1:9" ht="31.5">
      <c r="A57" s="558"/>
      <c r="B57" s="555">
        <v>721211</v>
      </c>
      <c r="C57" s="520" t="s">
        <v>90</v>
      </c>
      <c r="D57" s="537">
        <v>10</v>
      </c>
      <c r="E57" s="538">
        <v>3.32</v>
      </c>
      <c r="F57" s="524">
        <f t="shared" si="2"/>
        <v>33.199999999999996</v>
      </c>
      <c r="G57" s="548"/>
      <c r="H57" s="538">
        <v>10</v>
      </c>
      <c r="I57" s="528">
        <f t="shared" si="3"/>
        <v>10</v>
      </c>
    </row>
    <row r="58" spans="1:9" ht="31.5">
      <c r="A58" s="558"/>
      <c r="B58" s="556">
        <v>722431</v>
      </c>
      <c r="C58" s="520" t="s">
        <v>96</v>
      </c>
      <c r="D58" s="537">
        <v>95050</v>
      </c>
      <c r="E58" s="538">
        <v>19148.669999999998</v>
      </c>
      <c r="F58" s="524">
        <f t="shared" si="2"/>
        <v>20.145891635981062</v>
      </c>
      <c r="G58" s="548"/>
      <c r="H58" s="538">
        <v>101925</v>
      </c>
      <c r="I58" s="528">
        <f t="shared" si="3"/>
        <v>101925</v>
      </c>
    </row>
    <row r="59" spans="1:9" ht="31.5">
      <c r="A59" s="558"/>
      <c r="B59" s="557">
        <v>722433</v>
      </c>
      <c r="C59" s="520" t="s">
        <v>100</v>
      </c>
      <c r="D59" s="537">
        <v>369750</v>
      </c>
      <c r="E59" s="538">
        <v>131417.78</v>
      </c>
      <c r="F59" s="524">
        <f t="shared" si="2"/>
        <v>35.542334009465854</v>
      </c>
      <c r="G59" s="548"/>
      <c r="H59" s="538">
        <v>377250</v>
      </c>
      <c r="I59" s="528">
        <f t="shared" si="3"/>
        <v>377250</v>
      </c>
    </row>
    <row r="60" spans="1:9" ht="31.5">
      <c r="A60" s="558"/>
      <c r="B60" s="557">
        <v>722434</v>
      </c>
      <c r="C60" s="520" t="s">
        <v>101</v>
      </c>
      <c r="D60" s="537">
        <v>14750</v>
      </c>
      <c r="E60" s="538">
        <v>1883.46</v>
      </c>
      <c r="F60" s="524">
        <f t="shared" si="2"/>
        <v>12.76922033898305</v>
      </c>
      <c r="G60" s="548"/>
      <c r="H60" s="538">
        <v>14750</v>
      </c>
      <c r="I60" s="528">
        <f t="shared" si="3"/>
        <v>14750</v>
      </c>
    </row>
    <row r="61" spans="1:9" ht="32.25" thickBot="1">
      <c r="A61" s="562"/>
      <c r="B61" s="563">
        <v>722435</v>
      </c>
      <c r="C61" s="521" t="s">
        <v>115</v>
      </c>
      <c r="D61" s="545">
        <v>718750</v>
      </c>
      <c r="E61" s="546">
        <v>178316.36</v>
      </c>
      <c r="F61" s="491">
        <f t="shared" si="2"/>
        <v>24.809232695652174</v>
      </c>
      <c r="G61" s="550"/>
      <c r="H61" s="546">
        <v>750000</v>
      </c>
      <c r="I61" s="529">
        <f t="shared" si="3"/>
        <v>750000</v>
      </c>
    </row>
    <row r="62" spans="1:9" ht="15.75" thickTop="1"/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Footer>&amp;LRebalans Budžeta Grada Mostara za 2021.g GP&amp;C&amp;P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/>
  <dimension ref="A1:AE61"/>
  <sheetViews>
    <sheetView view="pageBreakPreview" zoomScale="85" zoomScaleNormal="100" zoomScaleSheetLayoutView="85" workbookViewId="0">
      <selection activeCell="X5" sqref="X5"/>
    </sheetView>
  </sheetViews>
  <sheetFormatPr defaultRowHeight="15.75"/>
  <cols>
    <col min="3" max="3" width="40.42578125" customWidth="1"/>
    <col min="4" max="17" width="0" style="323" hidden="1" customWidth="1"/>
    <col min="18" max="23" width="14.5703125" style="323" customWidth="1"/>
    <col min="24" max="24" width="9.140625" style="697"/>
    <col min="25" max="25" width="14" style="697" customWidth="1"/>
    <col min="26" max="26" width="9.28515625" bestFit="1" customWidth="1"/>
    <col min="29" max="30" width="9.28515625" bestFit="1" customWidth="1"/>
  </cols>
  <sheetData>
    <row r="1" spans="1:31" ht="35.25" customHeight="1" thickBot="1">
      <c r="A1" s="3340" t="s">
        <v>1551</v>
      </c>
      <c r="B1" s="3340"/>
      <c r="C1" s="3340"/>
      <c r="D1" s="3340"/>
      <c r="E1" s="3340"/>
      <c r="F1" s="3340"/>
      <c r="G1" s="3340"/>
      <c r="H1" s="3340"/>
      <c r="I1" s="3340"/>
      <c r="J1" s="3340"/>
      <c r="K1" s="3340"/>
      <c r="L1" s="3340"/>
      <c r="M1" s="3340"/>
      <c r="N1" s="3340"/>
      <c r="O1" s="3340"/>
      <c r="P1" s="3340"/>
      <c r="Q1" s="3340"/>
      <c r="R1" s="3340"/>
      <c r="S1" s="3340"/>
      <c r="T1" s="3340"/>
      <c r="U1" s="3340"/>
      <c r="V1" s="3340"/>
      <c r="W1" s="3340"/>
      <c r="X1" s="3340"/>
      <c r="Y1" s="2105"/>
    </row>
    <row r="2" spans="1:31" ht="29.25" customHeight="1" thickTop="1">
      <c r="A2" s="2244"/>
      <c r="B2" s="3336"/>
      <c r="C2" s="3338" t="s">
        <v>48</v>
      </c>
      <c r="D2" s="2245"/>
      <c r="E2" s="2245"/>
      <c r="F2" s="2245"/>
      <c r="G2" s="2245"/>
      <c r="H2" s="2245"/>
      <c r="I2" s="2245"/>
      <c r="J2" s="2245"/>
      <c r="K2" s="2245"/>
      <c r="L2" s="2245"/>
      <c r="M2" s="2245"/>
      <c r="N2" s="2245"/>
      <c r="O2" s="2245"/>
      <c r="P2" s="2245"/>
      <c r="Q2" s="2245"/>
      <c r="R2" s="3341" t="s">
        <v>1646</v>
      </c>
      <c r="S2" s="3342"/>
      <c r="T2" s="3343"/>
      <c r="U2" s="3341" t="s">
        <v>1705</v>
      </c>
      <c r="V2" s="3342"/>
      <c r="W2" s="3343"/>
      <c r="X2" s="3333" t="s">
        <v>583</v>
      </c>
      <c r="Y2" s="2243"/>
    </row>
    <row r="3" spans="1:31" ht="47.25">
      <c r="A3" s="2246"/>
      <c r="B3" s="3337"/>
      <c r="C3" s="3339"/>
      <c r="D3" s="2247" t="s">
        <v>50</v>
      </c>
      <c r="E3" s="2248" t="s">
        <v>51</v>
      </c>
      <c r="F3" s="2248"/>
      <c r="G3" s="2249" t="s">
        <v>52</v>
      </c>
      <c r="H3" s="2250" t="s">
        <v>53</v>
      </c>
      <c r="I3" s="2247" t="s">
        <v>50</v>
      </c>
      <c r="J3" s="2248" t="s">
        <v>51</v>
      </c>
      <c r="K3" s="2248"/>
      <c r="L3" s="2249" t="s">
        <v>52</v>
      </c>
      <c r="M3" s="2250" t="s">
        <v>53</v>
      </c>
      <c r="N3" s="2247" t="s">
        <v>50</v>
      </c>
      <c r="O3" s="2248" t="s">
        <v>51</v>
      </c>
      <c r="P3" s="2248"/>
      <c r="Q3" s="2249" t="s">
        <v>52</v>
      </c>
      <c r="R3" s="2251" t="s">
        <v>1343</v>
      </c>
      <c r="S3" s="2252" t="s">
        <v>1493</v>
      </c>
      <c r="T3" s="2250" t="s">
        <v>53</v>
      </c>
      <c r="U3" s="2989" t="s">
        <v>1343</v>
      </c>
      <c r="V3" s="2990" t="s">
        <v>1493</v>
      </c>
      <c r="W3" s="2250" t="s">
        <v>53</v>
      </c>
      <c r="X3" s="3334"/>
      <c r="Y3" s="2243"/>
    </row>
    <row r="4" spans="1:31" ht="31.5">
      <c r="A4" s="2253"/>
      <c r="B4" s="2254"/>
      <c r="C4" s="2255"/>
      <c r="D4" s="2256">
        <v>5</v>
      </c>
      <c r="E4" s="2257">
        <v>6</v>
      </c>
      <c r="F4" s="2257"/>
      <c r="G4" s="2258">
        <v>7</v>
      </c>
      <c r="H4" s="2259" t="s">
        <v>1355</v>
      </c>
      <c r="I4" s="2256">
        <v>5</v>
      </c>
      <c r="J4" s="2257">
        <v>6</v>
      </c>
      <c r="K4" s="2257"/>
      <c r="L4" s="2258">
        <v>7</v>
      </c>
      <c r="M4" s="2259" t="s">
        <v>1355</v>
      </c>
      <c r="N4" s="2256">
        <v>5</v>
      </c>
      <c r="O4" s="2257">
        <v>6</v>
      </c>
      <c r="P4" s="2257"/>
      <c r="Q4" s="2258">
        <v>7</v>
      </c>
      <c r="R4" s="2260">
        <v>1</v>
      </c>
      <c r="S4" s="2261">
        <v>2</v>
      </c>
      <c r="T4" s="2262" t="s">
        <v>1666</v>
      </c>
      <c r="U4" s="2991">
        <v>4</v>
      </c>
      <c r="V4" s="2992">
        <v>5</v>
      </c>
      <c r="W4" s="2262" t="s">
        <v>1667</v>
      </c>
      <c r="X4" s="3335"/>
      <c r="Y4" s="2243"/>
    </row>
    <row r="5" spans="1:31" s="495" customFormat="1">
      <c r="A5" s="2263"/>
      <c r="B5" s="2264"/>
      <c r="C5" s="2265"/>
      <c r="D5" s="2266"/>
      <c r="E5" s="2267"/>
      <c r="F5" s="2267"/>
      <c r="G5" s="2268"/>
      <c r="H5" s="2269"/>
      <c r="I5" s="2266"/>
      <c r="J5" s="2267"/>
      <c r="K5" s="2267"/>
      <c r="L5" s="2268"/>
      <c r="M5" s="2269"/>
      <c r="N5" s="2266"/>
      <c r="O5" s="2267"/>
      <c r="P5" s="2267"/>
      <c r="Q5" s="2268"/>
      <c r="R5" s="2270">
        <f>SUM(R6,R12,R19,R25,R33,R40,R47,R55)</f>
        <v>4785541</v>
      </c>
      <c r="S5" s="2271">
        <f>SUM(S6,S12,S19,S25,S33,S40,S47,S55)</f>
        <v>6220218</v>
      </c>
      <c r="T5" s="2272">
        <f>SUM(T6,T12,T19,T25,T33,T40,T47,T55)</f>
        <v>11005759</v>
      </c>
      <c r="U5" s="2993">
        <f>SUM(U6,U12,U19,U47,U55)</f>
        <v>0</v>
      </c>
      <c r="V5" s="2994">
        <f>SUM(V6,V12,V19,V25,V33,V40,V47,V55)</f>
        <v>4036167</v>
      </c>
      <c r="W5" s="2272">
        <f>SUM(W6,W12,W19,W47,W55,W25,W33,W40)</f>
        <v>4036167</v>
      </c>
      <c r="X5" s="2273">
        <f>W5/T5*100</f>
        <v>36.673227171338205</v>
      </c>
      <c r="Y5" s="1001">
        <f>'prihodi posebni dio'!X40</f>
        <v>4036167</v>
      </c>
      <c r="Z5" s="501"/>
    </row>
    <row r="6" spans="1:31" s="495" customFormat="1" ht="25.15" customHeight="1">
      <c r="A6" s="1156">
        <v>223</v>
      </c>
      <c r="B6" s="1157"/>
      <c r="C6" s="1158" t="s">
        <v>617</v>
      </c>
      <c r="D6" s="1159">
        <f>SUM(D7:D11)</f>
        <v>0</v>
      </c>
      <c r="E6" s="1162">
        <f>SUM(E7:E11,)</f>
        <v>62303.659999999996</v>
      </c>
      <c r="F6" s="1162">
        <f>SUM(F7:F11,)</f>
        <v>368971.98</v>
      </c>
      <c r="G6" s="1160">
        <f>SUM(G7:G11)</f>
        <v>0</v>
      </c>
      <c r="H6" s="1161">
        <f>SUM(H7:H11,)</f>
        <v>431275.63999999996</v>
      </c>
      <c r="I6" s="1159">
        <f>SUM(I7:I11)</f>
        <v>0</v>
      </c>
      <c r="J6" s="1162">
        <f>SUM(J7:J11,)</f>
        <v>65779.960000000006</v>
      </c>
      <c r="K6" s="1162">
        <f>SUM(K7:K11,)</f>
        <v>368971.98</v>
      </c>
      <c r="L6" s="1160">
        <f>SUM(L7:L11)</f>
        <v>0</v>
      </c>
      <c r="M6" s="1161">
        <f>SUM(M7:M11,)</f>
        <v>434751.94</v>
      </c>
      <c r="N6" s="1159">
        <f>SUM(N7:N11)</f>
        <v>0</v>
      </c>
      <c r="O6" s="1162">
        <f>SUM(O7:O11,)</f>
        <v>73032.27</v>
      </c>
      <c r="P6" s="1162">
        <f>SUM(P7:P11,)</f>
        <v>368971.98</v>
      </c>
      <c r="Q6" s="1160">
        <f>SUM(Q7:Q11)</f>
        <v>0</v>
      </c>
      <c r="R6" s="1246">
        <f t="shared" ref="R6:W6" si="0">SUM(R7:R11,)</f>
        <v>368971.98</v>
      </c>
      <c r="S6" s="1247">
        <f t="shared" si="0"/>
        <v>572770</v>
      </c>
      <c r="T6" s="1155">
        <f t="shared" si="0"/>
        <v>941741.98</v>
      </c>
      <c r="U6" s="2995">
        <f t="shared" si="0"/>
        <v>0</v>
      </c>
      <c r="V6" s="2996">
        <f>SUM(V7:V11,)</f>
        <v>250000</v>
      </c>
      <c r="W6" s="1155">
        <f t="shared" si="0"/>
        <v>250000</v>
      </c>
      <c r="X6" s="990">
        <f>W6/T6*100</f>
        <v>26.546549406239698</v>
      </c>
      <c r="Y6" s="1002"/>
      <c r="Z6" s="501">
        <f>'[1]PRIH REBALANS'!$AH$75</f>
        <v>4036167</v>
      </c>
    </row>
    <row r="7" spans="1:31" ht="25.15" customHeight="1">
      <c r="A7" s="1163"/>
      <c r="B7" s="1164">
        <v>721211</v>
      </c>
      <c r="C7" s="1165" t="s">
        <v>90</v>
      </c>
      <c r="D7" s="1166"/>
      <c r="E7" s="1169">
        <v>24.1</v>
      </c>
      <c r="F7" s="1169"/>
      <c r="G7" s="1167"/>
      <c r="H7" s="1168">
        <f>D7+E7+G7+F7</f>
        <v>24.1</v>
      </c>
      <c r="I7" s="1166"/>
      <c r="J7" s="1169">
        <v>27.89</v>
      </c>
      <c r="K7" s="1169"/>
      <c r="L7" s="1167"/>
      <c r="M7" s="1168">
        <f>I7+J7+L7+K7</f>
        <v>27.89</v>
      </c>
      <c r="N7" s="1166"/>
      <c r="O7" s="1169">
        <v>31.62</v>
      </c>
      <c r="P7" s="1169"/>
      <c r="Q7" s="1167"/>
      <c r="R7" s="1248"/>
      <c r="S7" s="1218">
        <v>70</v>
      </c>
      <c r="T7" s="704">
        <f>S7+R7</f>
        <v>70</v>
      </c>
      <c r="U7" s="2072"/>
      <c r="V7" s="1271">
        <v>50</v>
      </c>
      <c r="W7" s="704">
        <f>V7+U7</f>
        <v>50</v>
      </c>
      <c r="X7" s="990">
        <f t="shared" ref="X7:X24" si="1">W7/T7*100</f>
        <v>71.428571428571431</v>
      </c>
      <c r="Y7" s="1002"/>
      <c r="Z7" s="501"/>
    </row>
    <row r="8" spans="1:31" ht="25.15" customHeight="1">
      <c r="A8" s="1163"/>
      <c r="B8" s="1170">
        <v>722431</v>
      </c>
      <c r="C8" s="1165" t="s">
        <v>91</v>
      </c>
      <c r="D8" s="1166"/>
      <c r="E8" s="1171">
        <v>12387.45</v>
      </c>
      <c r="F8" s="1169">
        <v>1139.71</v>
      </c>
      <c r="G8" s="1167"/>
      <c r="H8" s="1168">
        <f t="shared" ref="H8:H11" si="2">D8+E8+G8+F8</f>
        <v>13527.16</v>
      </c>
      <c r="I8" s="1166"/>
      <c r="J8" s="1171">
        <v>12387.45</v>
      </c>
      <c r="K8" s="1169">
        <v>1139.71</v>
      </c>
      <c r="L8" s="1167"/>
      <c r="M8" s="1168">
        <f t="shared" ref="M8:M11" si="3">I8+J8+L8+K8</f>
        <v>13527.16</v>
      </c>
      <c r="N8" s="1166"/>
      <c r="O8" s="1171">
        <v>14295.05</v>
      </c>
      <c r="P8" s="1169">
        <v>1139.71</v>
      </c>
      <c r="Q8" s="1167"/>
      <c r="R8" s="1248">
        <v>1139.71</v>
      </c>
      <c r="S8" s="1218">
        <v>200700</v>
      </c>
      <c r="T8" s="704">
        <f t="shared" ref="T8:T24" si="4">S8+R8</f>
        <v>201839.71</v>
      </c>
      <c r="U8" s="2072"/>
      <c r="V8" s="1271">
        <v>9950</v>
      </c>
      <c r="W8" s="704">
        <f t="shared" ref="W8:W11" si="5">V8+U8</f>
        <v>9950</v>
      </c>
      <c r="X8" s="990">
        <f t="shared" si="1"/>
        <v>4.9296543281795246</v>
      </c>
      <c r="Y8" s="1002">
        <f>V8*1.2</f>
        <v>11940</v>
      </c>
      <c r="Z8" s="501">
        <f>Y8-(Y8*80%)</f>
        <v>2388</v>
      </c>
      <c r="AA8">
        <f>(V8/80%)*20%</f>
        <v>2487.5</v>
      </c>
      <c r="AC8" s="209">
        <f>SUM(V8:V11,V14:V17,V21:V24,V27:V30,V35:V38,V42:V45,V49:V52)</f>
        <v>3254805</v>
      </c>
      <c r="AD8" s="209">
        <f>AC8*1.2</f>
        <v>3905766</v>
      </c>
      <c r="AE8">
        <f>AD8-(AD8*80%)</f>
        <v>781153.19999999972</v>
      </c>
    </row>
    <row r="9" spans="1:31" ht="25.15" customHeight="1">
      <c r="A9" s="1163"/>
      <c r="B9" s="1172">
        <v>722433</v>
      </c>
      <c r="C9" s="1165" t="s">
        <v>92</v>
      </c>
      <c r="D9" s="1166"/>
      <c r="E9" s="1169"/>
      <c r="F9" s="1169"/>
      <c r="G9" s="1167"/>
      <c r="H9" s="1168">
        <f t="shared" si="2"/>
        <v>0</v>
      </c>
      <c r="I9" s="1166"/>
      <c r="J9" s="1169"/>
      <c r="K9" s="1169"/>
      <c r="L9" s="1167"/>
      <c r="M9" s="1168">
        <f t="shared" si="3"/>
        <v>0</v>
      </c>
      <c r="N9" s="1166"/>
      <c r="O9" s="1169"/>
      <c r="P9" s="1169"/>
      <c r="Q9" s="1167"/>
      <c r="R9" s="1248"/>
      <c r="S9" s="1218">
        <v>10000</v>
      </c>
      <c r="T9" s="704">
        <f t="shared" si="4"/>
        <v>10000</v>
      </c>
      <c r="U9" s="2072"/>
      <c r="V9" s="1271">
        <v>70000</v>
      </c>
      <c r="W9" s="704">
        <f t="shared" si="5"/>
        <v>70000</v>
      </c>
      <c r="X9" s="990">
        <f t="shared" si="1"/>
        <v>700</v>
      </c>
      <c r="Y9" s="1002">
        <f t="shared" ref="Y9:Y11" si="6">V9*1.2</f>
        <v>84000</v>
      </c>
      <c r="Z9" s="501">
        <f t="shared" ref="Z9:Z11" si="7">Y9-(Y9*80%)</f>
        <v>16800</v>
      </c>
      <c r="AA9">
        <f t="shared" ref="AA9:AA54" si="8">(V9/80%)*20%</f>
        <v>17500</v>
      </c>
    </row>
    <row r="10" spans="1:31" ht="25.15" customHeight="1">
      <c r="A10" s="1163"/>
      <c r="B10" s="1172">
        <v>722434</v>
      </c>
      <c r="C10" s="1165" t="s">
        <v>93</v>
      </c>
      <c r="D10" s="1166"/>
      <c r="E10" s="1169">
        <v>6488.02</v>
      </c>
      <c r="F10" s="1169">
        <v>22244.639999999999</v>
      </c>
      <c r="G10" s="1167"/>
      <c r="H10" s="1168">
        <f t="shared" si="2"/>
        <v>28732.66</v>
      </c>
      <c r="I10" s="1166"/>
      <c r="J10" s="1169">
        <v>7415</v>
      </c>
      <c r="K10" s="1169">
        <v>22244.639999999999</v>
      </c>
      <c r="L10" s="1167"/>
      <c r="M10" s="1168">
        <f t="shared" si="3"/>
        <v>29659.64</v>
      </c>
      <c r="N10" s="1166"/>
      <c r="O10" s="1169">
        <v>8341.74</v>
      </c>
      <c r="P10" s="1169">
        <v>22244.639999999999</v>
      </c>
      <c r="Q10" s="1167"/>
      <c r="R10" s="1248">
        <v>22244.639999999999</v>
      </c>
      <c r="S10" s="1218">
        <v>12000</v>
      </c>
      <c r="T10" s="704">
        <f t="shared" si="4"/>
        <v>34244.639999999999</v>
      </c>
      <c r="U10" s="2072"/>
      <c r="V10" s="1271">
        <v>15000</v>
      </c>
      <c r="W10" s="704">
        <f t="shared" si="5"/>
        <v>15000</v>
      </c>
      <c r="X10" s="990">
        <f t="shared" si="1"/>
        <v>43.802475365487851</v>
      </c>
      <c r="Y10" s="1002">
        <f t="shared" si="6"/>
        <v>18000</v>
      </c>
      <c r="Z10" s="501">
        <f t="shared" si="7"/>
        <v>3600</v>
      </c>
      <c r="AA10">
        <f t="shared" si="8"/>
        <v>3750</v>
      </c>
    </row>
    <row r="11" spans="1:31" ht="25.15" customHeight="1">
      <c r="A11" s="1173"/>
      <c r="B11" s="1170">
        <v>722435</v>
      </c>
      <c r="C11" s="1165" t="s">
        <v>94</v>
      </c>
      <c r="D11" s="1166"/>
      <c r="E11" s="1171">
        <v>43404.09</v>
      </c>
      <c r="F11" s="1169">
        <v>345587.63</v>
      </c>
      <c r="G11" s="1167"/>
      <c r="H11" s="1168">
        <f t="shared" si="2"/>
        <v>388991.72</v>
      </c>
      <c r="I11" s="1166"/>
      <c r="J11" s="1171">
        <v>45949.62</v>
      </c>
      <c r="K11" s="1169">
        <v>345587.63</v>
      </c>
      <c r="L11" s="1167"/>
      <c r="M11" s="1168">
        <f t="shared" si="3"/>
        <v>391537.25</v>
      </c>
      <c r="N11" s="1166"/>
      <c r="O11" s="1171">
        <v>50363.86</v>
      </c>
      <c r="P11" s="1169">
        <v>345587.63</v>
      </c>
      <c r="Q11" s="1167"/>
      <c r="R11" s="1248">
        <v>345587.63</v>
      </c>
      <c r="S11" s="1218">
        <v>350000</v>
      </c>
      <c r="T11" s="704">
        <f t="shared" si="4"/>
        <v>695587.63</v>
      </c>
      <c r="U11" s="2072"/>
      <c r="V11" s="1271">
        <v>155000</v>
      </c>
      <c r="W11" s="704">
        <f t="shared" si="5"/>
        <v>155000</v>
      </c>
      <c r="X11" s="990">
        <f t="shared" si="1"/>
        <v>22.283317487977754</v>
      </c>
      <c r="Y11" s="1002">
        <f t="shared" si="6"/>
        <v>186000</v>
      </c>
      <c r="Z11" s="501">
        <f t="shared" si="7"/>
        <v>37200</v>
      </c>
      <c r="AA11">
        <f t="shared" si="8"/>
        <v>38750</v>
      </c>
    </row>
    <row r="12" spans="1:31" s="495" customFormat="1" ht="25.15" customHeight="1">
      <c r="A12" s="1156">
        <v>223</v>
      </c>
      <c r="B12" s="1174"/>
      <c r="C12" s="1158" t="s">
        <v>618</v>
      </c>
      <c r="D12" s="1159">
        <f>SUM(D13:D17)</f>
        <v>0</v>
      </c>
      <c r="E12" s="1162">
        <f>SUM(E13:E18,)</f>
        <v>353604.36</v>
      </c>
      <c r="F12" s="1162">
        <f>SUM(F13:F18)</f>
        <v>484220.42</v>
      </c>
      <c r="G12" s="1160">
        <f>SUM(G13:G17)</f>
        <v>0</v>
      </c>
      <c r="H12" s="1161">
        <f>SUM(H13:H18,)-H18</f>
        <v>832824.77999999991</v>
      </c>
      <c r="I12" s="1159">
        <f>SUM(I13:I17)</f>
        <v>0</v>
      </c>
      <c r="J12" s="1162">
        <f>SUM(J13:J18,)</f>
        <v>372983.12</v>
      </c>
      <c r="K12" s="1162">
        <f>SUM(K13:K18)</f>
        <v>484220.42</v>
      </c>
      <c r="L12" s="1160">
        <f>SUM(L13:L17)</f>
        <v>0</v>
      </c>
      <c r="M12" s="1161">
        <f>SUM(M13:M18,)-M18</f>
        <v>852203.53999999992</v>
      </c>
      <c r="N12" s="1159">
        <f>SUM(N13:N17)</f>
        <v>0</v>
      </c>
      <c r="O12" s="1162">
        <f>SUM(O13:O18,)</f>
        <v>375922.11</v>
      </c>
      <c r="P12" s="1162">
        <f>SUM(P13:P18)</f>
        <v>484220.42</v>
      </c>
      <c r="Q12" s="1160">
        <f>SUM(Q13:Q17)</f>
        <v>0</v>
      </c>
      <c r="R12" s="1246">
        <f>SUM(R13:R18)</f>
        <v>484220.42</v>
      </c>
      <c r="S12" s="1247">
        <f>SUM(S13:S18,)</f>
        <v>1215065</v>
      </c>
      <c r="T12" s="1155">
        <f>SUM(T13:T18)</f>
        <v>1699285.42</v>
      </c>
      <c r="U12" s="2995">
        <f>SUM(U13:U18)</f>
        <v>0</v>
      </c>
      <c r="V12" s="2996">
        <f>SUM(V13:V18,)</f>
        <v>820000</v>
      </c>
      <c r="W12" s="1155">
        <f>SUM(W13:W18)</f>
        <v>820000</v>
      </c>
      <c r="X12" s="990">
        <f t="shared" si="1"/>
        <v>48.255577924042917</v>
      </c>
      <c r="Y12" s="1002">
        <f t="shared" ref="Y12:Y54" si="9">(V12/80%)*20%</f>
        <v>205000</v>
      </c>
      <c r="Z12" s="501">
        <f t="shared" ref="Z12:Z20" si="10">(V12/80%)*20%</f>
        <v>205000</v>
      </c>
      <c r="AA12">
        <f t="shared" si="8"/>
        <v>205000</v>
      </c>
    </row>
    <row r="13" spans="1:31" ht="25.15" customHeight="1">
      <c r="A13" s="1163"/>
      <c r="B13" s="1164">
        <v>721211</v>
      </c>
      <c r="C13" s="1165" t="s">
        <v>90</v>
      </c>
      <c r="D13" s="1166"/>
      <c r="E13" s="1169">
        <v>30.49</v>
      </c>
      <c r="F13" s="1169"/>
      <c r="G13" s="1167"/>
      <c r="H13" s="1168">
        <f t="shared" ref="H13:H18" si="11">D13+E13+G13+F13</f>
        <v>30.49</v>
      </c>
      <c r="I13" s="1166"/>
      <c r="J13" s="1169">
        <v>35.72</v>
      </c>
      <c r="K13" s="1169"/>
      <c r="L13" s="1167"/>
      <c r="M13" s="1168">
        <f t="shared" ref="M13:M18" si="12">I13+J13+L13+K13</f>
        <v>35.72</v>
      </c>
      <c r="N13" s="1166"/>
      <c r="O13" s="1169">
        <v>40.880000000000003</v>
      </c>
      <c r="P13" s="1169"/>
      <c r="Q13" s="1167"/>
      <c r="R13" s="1248"/>
      <c r="S13" s="1218">
        <v>65</v>
      </c>
      <c r="T13" s="704">
        <f t="shared" si="4"/>
        <v>65</v>
      </c>
      <c r="U13" s="2072"/>
      <c r="V13" s="1271">
        <v>50</v>
      </c>
      <c r="W13" s="704">
        <f t="shared" ref="W13:W18" si="13">V13+U13</f>
        <v>50</v>
      </c>
      <c r="X13" s="990">
        <f t="shared" si="1"/>
        <v>76.923076923076934</v>
      </c>
      <c r="Y13" s="1002"/>
      <c r="Z13" s="501">
        <f t="shared" si="10"/>
        <v>12.5</v>
      </c>
      <c r="AA13">
        <f t="shared" si="8"/>
        <v>12.5</v>
      </c>
    </row>
    <row r="14" spans="1:31" ht="25.15" customHeight="1">
      <c r="A14" s="1163"/>
      <c r="B14" s="1170">
        <v>722431</v>
      </c>
      <c r="C14" s="1165" t="s">
        <v>96</v>
      </c>
      <c r="D14" s="1166"/>
      <c r="E14" s="1169">
        <v>1704.96</v>
      </c>
      <c r="F14" s="1169"/>
      <c r="G14" s="1167"/>
      <c r="H14" s="1168">
        <f t="shared" si="11"/>
        <v>1704.96</v>
      </c>
      <c r="I14" s="1166"/>
      <c r="J14" s="1169">
        <v>8983</v>
      </c>
      <c r="K14" s="1169"/>
      <c r="L14" s="1167"/>
      <c r="M14" s="1168">
        <f t="shared" si="12"/>
        <v>8983</v>
      </c>
      <c r="N14" s="1166"/>
      <c r="O14" s="1169">
        <v>9607.2900000000009</v>
      </c>
      <c r="P14" s="1169"/>
      <c r="Q14" s="1167"/>
      <c r="R14" s="1248"/>
      <c r="S14" s="1218">
        <v>10000</v>
      </c>
      <c r="T14" s="704">
        <f t="shared" si="4"/>
        <v>10000</v>
      </c>
      <c r="U14" s="2072"/>
      <c r="V14" s="1271">
        <v>99950</v>
      </c>
      <c r="W14" s="704">
        <f t="shared" si="13"/>
        <v>99950</v>
      </c>
      <c r="X14" s="990">
        <f t="shared" si="1"/>
        <v>999.49999999999989</v>
      </c>
      <c r="Y14" s="1002">
        <f t="shared" ref="Y14:Y17" si="14">V14*1.2</f>
        <v>119940</v>
      </c>
      <c r="Z14" s="501">
        <f>Y14-(Y14*80%)</f>
        <v>23988</v>
      </c>
      <c r="AA14">
        <f t="shared" si="8"/>
        <v>24987.5</v>
      </c>
    </row>
    <row r="15" spans="1:31" ht="25.15" customHeight="1">
      <c r="A15" s="1163"/>
      <c r="B15" s="1172">
        <v>722433</v>
      </c>
      <c r="C15" s="1165" t="s">
        <v>97</v>
      </c>
      <c r="D15" s="1166"/>
      <c r="E15" s="1169">
        <v>33787.760000000002</v>
      </c>
      <c r="F15" s="1169"/>
      <c r="G15" s="1167"/>
      <c r="H15" s="1168">
        <f t="shared" si="11"/>
        <v>33787.760000000002</v>
      </c>
      <c r="I15" s="1166"/>
      <c r="J15" s="1169">
        <v>33787.760000000002</v>
      </c>
      <c r="K15" s="1169"/>
      <c r="L15" s="1167"/>
      <c r="M15" s="1168">
        <f t="shared" si="12"/>
        <v>33787.760000000002</v>
      </c>
      <c r="N15" s="1166"/>
      <c r="O15" s="1169">
        <v>33578</v>
      </c>
      <c r="P15" s="1169"/>
      <c r="Q15" s="1167"/>
      <c r="R15" s="1248"/>
      <c r="S15" s="1218">
        <v>600000</v>
      </c>
      <c r="T15" s="704">
        <f t="shared" si="4"/>
        <v>600000</v>
      </c>
      <c r="U15" s="2072"/>
      <c r="V15" s="1271">
        <v>250000</v>
      </c>
      <c r="W15" s="704">
        <f t="shared" si="13"/>
        <v>250000</v>
      </c>
      <c r="X15" s="990">
        <f t="shared" si="1"/>
        <v>41.666666666666671</v>
      </c>
      <c r="Y15" s="1002">
        <f t="shared" si="14"/>
        <v>300000</v>
      </c>
      <c r="Z15" s="501">
        <f t="shared" ref="Z15:Z17" si="15">Y15-(Y15*80%)</f>
        <v>60000</v>
      </c>
      <c r="AA15">
        <f t="shared" si="8"/>
        <v>62500</v>
      </c>
    </row>
    <row r="16" spans="1:31" ht="25.15" customHeight="1">
      <c r="A16" s="1163"/>
      <c r="B16" s="1172">
        <v>722434</v>
      </c>
      <c r="C16" s="1165" t="s">
        <v>98</v>
      </c>
      <c r="D16" s="1166"/>
      <c r="E16" s="1169">
        <v>1015.41</v>
      </c>
      <c r="F16" s="1169"/>
      <c r="G16" s="1167"/>
      <c r="H16" s="1168">
        <f t="shared" si="11"/>
        <v>1015.41</v>
      </c>
      <c r="I16" s="1166"/>
      <c r="J16" s="1169">
        <v>984.64</v>
      </c>
      <c r="K16" s="1169"/>
      <c r="L16" s="1167"/>
      <c r="M16" s="1168">
        <f t="shared" si="12"/>
        <v>984.64</v>
      </c>
      <c r="N16" s="1166"/>
      <c r="O16" s="1169">
        <v>1107.72</v>
      </c>
      <c r="P16" s="1169"/>
      <c r="Q16" s="1167"/>
      <c r="R16" s="1248"/>
      <c r="S16" s="1218">
        <v>5000</v>
      </c>
      <c r="T16" s="704">
        <f t="shared" si="4"/>
        <v>5000</v>
      </c>
      <c r="U16" s="2072"/>
      <c r="V16" s="1271">
        <v>70000</v>
      </c>
      <c r="W16" s="704">
        <f t="shared" si="13"/>
        <v>70000</v>
      </c>
      <c r="X16" s="990">
        <f t="shared" si="1"/>
        <v>1400</v>
      </c>
      <c r="Y16" s="1002">
        <f t="shared" si="14"/>
        <v>84000</v>
      </c>
      <c r="Z16" s="501">
        <f t="shared" si="15"/>
        <v>16800</v>
      </c>
      <c r="AA16">
        <f t="shared" si="8"/>
        <v>17500</v>
      </c>
    </row>
    <row r="17" spans="1:27" ht="25.15" customHeight="1">
      <c r="A17" s="1163"/>
      <c r="B17" s="1170">
        <v>722435</v>
      </c>
      <c r="C17" s="1165" t="s">
        <v>94</v>
      </c>
      <c r="D17" s="1166"/>
      <c r="E17" s="1169">
        <v>317065.74</v>
      </c>
      <c r="F17" s="1169">
        <v>479220.42</v>
      </c>
      <c r="G17" s="1167"/>
      <c r="H17" s="1168">
        <f t="shared" si="11"/>
        <v>796286.15999999992</v>
      </c>
      <c r="I17" s="1166"/>
      <c r="J17" s="1169">
        <v>329192</v>
      </c>
      <c r="K17" s="1169">
        <v>479220.42</v>
      </c>
      <c r="L17" s="1167"/>
      <c r="M17" s="1168">
        <f t="shared" si="12"/>
        <v>808412.41999999993</v>
      </c>
      <c r="N17" s="1166"/>
      <c r="O17" s="1169">
        <v>331588.21999999997</v>
      </c>
      <c r="P17" s="1169">
        <v>479220.42</v>
      </c>
      <c r="Q17" s="1167"/>
      <c r="R17" s="1248">
        <v>479220.42</v>
      </c>
      <c r="S17" s="1218">
        <v>600000</v>
      </c>
      <c r="T17" s="704">
        <f t="shared" si="4"/>
        <v>1079220.42</v>
      </c>
      <c r="U17" s="2072"/>
      <c r="V17" s="1271">
        <v>400000</v>
      </c>
      <c r="W17" s="704">
        <f t="shared" si="13"/>
        <v>400000</v>
      </c>
      <c r="X17" s="990">
        <f t="shared" si="1"/>
        <v>37.063790916780469</v>
      </c>
      <c r="Y17" s="1002">
        <f t="shared" si="14"/>
        <v>480000</v>
      </c>
      <c r="Z17" s="501">
        <f t="shared" si="15"/>
        <v>96000</v>
      </c>
      <c r="AA17">
        <f t="shared" si="8"/>
        <v>100000</v>
      </c>
    </row>
    <row r="18" spans="1:27" ht="30" customHeight="1">
      <c r="A18" s="1163"/>
      <c r="B18" s="1170">
        <v>722435</v>
      </c>
      <c r="C18" s="1165" t="s">
        <v>1505</v>
      </c>
      <c r="D18" s="1166"/>
      <c r="E18" s="1175"/>
      <c r="F18" s="1169">
        <v>5000</v>
      </c>
      <c r="G18" s="1167"/>
      <c r="H18" s="1168">
        <f t="shared" si="11"/>
        <v>5000</v>
      </c>
      <c r="I18" s="1166"/>
      <c r="J18" s="1175"/>
      <c r="K18" s="1169">
        <v>5000</v>
      </c>
      <c r="L18" s="1167"/>
      <c r="M18" s="1168">
        <f t="shared" si="12"/>
        <v>5000</v>
      </c>
      <c r="N18" s="1166"/>
      <c r="O18" s="1175"/>
      <c r="P18" s="1169">
        <v>5000</v>
      </c>
      <c r="Q18" s="1167"/>
      <c r="R18" s="1248">
        <v>5000</v>
      </c>
      <c r="S18" s="1218"/>
      <c r="T18" s="704">
        <f t="shared" si="4"/>
        <v>5000</v>
      </c>
      <c r="U18" s="2072"/>
      <c r="V18" s="1271"/>
      <c r="W18" s="704">
        <f t="shared" si="13"/>
        <v>0</v>
      </c>
      <c r="X18" s="990">
        <f t="shared" si="1"/>
        <v>0</v>
      </c>
      <c r="Y18" s="1002"/>
      <c r="Z18" s="501">
        <f t="shared" si="10"/>
        <v>0</v>
      </c>
      <c r="AA18">
        <f t="shared" si="8"/>
        <v>0</v>
      </c>
    </row>
    <row r="19" spans="1:27" s="495" customFormat="1" ht="25.15" customHeight="1">
      <c r="A19" s="1156">
        <v>223</v>
      </c>
      <c r="B19" s="1174"/>
      <c r="C19" s="1158" t="s">
        <v>619</v>
      </c>
      <c r="D19" s="1159"/>
      <c r="E19" s="1162">
        <f>SUM(E20:E24)</f>
        <v>137613.25</v>
      </c>
      <c r="F19" s="1162">
        <f>SUM(F20:F24)</f>
        <v>324728.34999999998</v>
      </c>
      <c r="G19" s="1160">
        <f>SUM(G20:G24)</f>
        <v>0</v>
      </c>
      <c r="H19" s="1161">
        <f>SUM(H20:H24)</f>
        <v>462341.6</v>
      </c>
      <c r="I19" s="1159"/>
      <c r="J19" s="1162">
        <f>SUM(J20:J24)</f>
        <v>137615.70000000001</v>
      </c>
      <c r="K19" s="1162">
        <f>SUM(K20:K24)</f>
        <v>324728.34999999998</v>
      </c>
      <c r="L19" s="1160">
        <f>SUM(L20:L24)</f>
        <v>0</v>
      </c>
      <c r="M19" s="1161">
        <f>SUM(M20:M24)</f>
        <v>462344.05</v>
      </c>
      <c r="N19" s="1159"/>
      <c r="O19" s="1162">
        <f t="shared" ref="O19:T19" si="16">SUM(O20:O24)</f>
        <v>143623.54</v>
      </c>
      <c r="P19" s="1162">
        <f t="shared" si="16"/>
        <v>324728.34999999998</v>
      </c>
      <c r="Q19" s="1160">
        <f t="shared" si="16"/>
        <v>0</v>
      </c>
      <c r="R19" s="1246">
        <f t="shared" si="16"/>
        <v>324728.34999999998</v>
      </c>
      <c r="S19" s="1247">
        <f t="shared" ref="S19" si="17">SUM(S20:S24)</f>
        <v>414040</v>
      </c>
      <c r="T19" s="1155">
        <f t="shared" si="16"/>
        <v>738768.35</v>
      </c>
      <c r="U19" s="2995">
        <f t="shared" ref="U19:W19" si="18">SUM(U20:U24)</f>
        <v>0</v>
      </c>
      <c r="V19" s="2996">
        <f>SUM(V20:V24)</f>
        <v>200000</v>
      </c>
      <c r="W19" s="1155">
        <f t="shared" si="18"/>
        <v>200000</v>
      </c>
      <c r="X19" s="990">
        <f t="shared" si="1"/>
        <v>27.072085586774257</v>
      </c>
      <c r="Y19" s="1002">
        <f t="shared" si="9"/>
        <v>50000</v>
      </c>
      <c r="Z19" s="501">
        <f t="shared" si="10"/>
        <v>50000</v>
      </c>
      <c r="AA19">
        <f t="shared" si="8"/>
        <v>50000</v>
      </c>
    </row>
    <row r="20" spans="1:27" ht="25.15" customHeight="1">
      <c r="A20" s="1163"/>
      <c r="B20" s="1164">
        <v>721211</v>
      </c>
      <c r="C20" s="1165" t="s">
        <v>90</v>
      </c>
      <c r="D20" s="1166"/>
      <c r="E20" s="1169">
        <v>17.600000000000001</v>
      </c>
      <c r="F20" s="1169"/>
      <c r="G20" s="1167"/>
      <c r="H20" s="1168">
        <f t="shared" ref="H20:H24" si="19">D20+E20+G20+F20</f>
        <v>17.600000000000001</v>
      </c>
      <c r="I20" s="1166"/>
      <c r="J20" s="1169">
        <v>20.05</v>
      </c>
      <c r="K20" s="1169"/>
      <c r="L20" s="1167"/>
      <c r="M20" s="1168">
        <f t="shared" ref="M20:M24" si="20">I20+J20+L20+K20</f>
        <v>20.05</v>
      </c>
      <c r="N20" s="1166"/>
      <c r="O20" s="1169">
        <v>20.05</v>
      </c>
      <c r="P20" s="1169"/>
      <c r="Q20" s="1167"/>
      <c r="R20" s="1248"/>
      <c r="S20" s="1218">
        <v>40</v>
      </c>
      <c r="T20" s="704">
        <f t="shared" si="4"/>
        <v>40</v>
      </c>
      <c r="U20" s="2072"/>
      <c r="V20" s="1271">
        <v>10</v>
      </c>
      <c r="W20" s="704">
        <f t="shared" ref="W20:W24" si="21">V20+U20</f>
        <v>10</v>
      </c>
      <c r="X20" s="990">
        <f t="shared" si="1"/>
        <v>25</v>
      </c>
      <c r="Y20" s="1002"/>
      <c r="Z20" s="501">
        <f t="shared" si="10"/>
        <v>2.5</v>
      </c>
      <c r="AA20">
        <f t="shared" si="8"/>
        <v>2.5</v>
      </c>
    </row>
    <row r="21" spans="1:27" ht="25.15" customHeight="1">
      <c r="A21" s="1163"/>
      <c r="B21" s="1170">
        <v>722431</v>
      </c>
      <c r="C21" s="1165" t="s">
        <v>91</v>
      </c>
      <c r="D21" s="1166"/>
      <c r="E21" s="1169">
        <v>43773.599999999999</v>
      </c>
      <c r="F21" s="1169"/>
      <c r="G21" s="1167"/>
      <c r="H21" s="1168">
        <f t="shared" si="19"/>
        <v>43773.599999999999</v>
      </c>
      <c r="I21" s="1166"/>
      <c r="J21" s="1169">
        <v>43773.599999999999</v>
      </c>
      <c r="K21" s="1169"/>
      <c r="L21" s="1167"/>
      <c r="M21" s="1168">
        <f t="shared" si="20"/>
        <v>43773.599999999999</v>
      </c>
      <c r="N21" s="1166"/>
      <c r="O21" s="1169">
        <v>48749.68</v>
      </c>
      <c r="P21" s="1169"/>
      <c r="Q21" s="1167"/>
      <c r="R21" s="1248"/>
      <c r="S21" s="1218">
        <v>158000</v>
      </c>
      <c r="T21" s="704">
        <f t="shared" si="4"/>
        <v>158000</v>
      </c>
      <c r="U21" s="2072"/>
      <c r="V21" s="1271">
        <v>37990</v>
      </c>
      <c r="W21" s="704">
        <f t="shared" si="21"/>
        <v>37990</v>
      </c>
      <c r="X21" s="990">
        <f t="shared" si="1"/>
        <v>24.044303797468356</v>
      </c>
      <c r="Y21" s="1002">
        <f t="shared" ref="Y21:Y29" si="22">V21*1.2</f>
        <v>45588</v>
      </c>
      <c r="Z21" s="501">
        <f>Y21-(Y21*80%)</f>
        <v>9117.5999999999985</v>
      </c>
      <c r="AA21">
        <f t="shared" si="8"/>
        <v>9497.5</v>
      </c>
    </row>
    <row r="22" spans="1:27" ht="25.15" customHeight="1">
      <c r="A22" s="1163"/>
      <c r="B22" s="1172">
        <v>722433</v>
      </c>
      <c r="C22" s="1165" t="s">
        <v>100</v>
      </c>
      <c r="D22" s="1166"/>
      <c r="E22" s="1169">
        <v>27257.24</v>
      </c>
      <c r="F22" s="1169"/>
      <c r="G22" s="1167"/>
      <c r="H22" s="1168">
        <f t="shared" si="19"/>
        <v>27257.24</v>
      </c>
      <c r="I22" s="1166"/>
      <c r="J22" s="1169">
        <v>27257.24</v>
      </c>
      <c r="K22" s="1169"/>
      <c r="L22" s="1167"/>
      <c r="M22" s="1168">
        <f t="shared" si="20"/>
        <v>27257.24</v>
      </c>
      <c r="N22" s="1166"/>
      <c r="O22" s="1169">
        <v>27257.24</v>
      </c>
      <c r="P22" s="1169"/>
      <c r="Q22" s="1167"/>
      <c r="R22" s="1248"/>
      <c r="S22" s="1218">
        <v>4000</v>
      </c>
      <c r="T22" s="704">
        <f t="shared" si="4"/>
        <v>4000</v>
      </c>
      <c r="U22" s="2072"/>
      <c r="V22" s="1271">
        <v>100000</v>
      </c>
      <c r="W22" s="704">
        <f t="shared" si="21"/>
        <v>100000</v>
      </c>
      <c r="X22" s="990">
        <f t="shared" si="1"/>
        <v>2500</v>
      </c>
      <c r="Y22" s="1002">
        <f t="shared" si="22"/>
        <v>120000</v>
      </c>
      <c r="Z22" s="501">
        <f t="shared" ref="Z22:Z24" si="23">Y22-(Y22*80%)</f>
        <v>24000</v>
      </c>
      <c r="AA22">
        <f t="shared" si="8"/>
        <v>25000</v>
      </c>
    </row>
    <row r="23" spans="1:27" ht="25.15" customHeight="1">
      <c r="A23" s="1163"/>
      <c r="B23" s="1172">
        <v>722434</v>
      </c>
      <c r="C23" s="1165" t="s">
        <v>101</v>
      </c>
      <c r="D23" s="1166"/>
      <c r="E23" s="1169"/>
      <c r="F23" s="1169"/>
      <c r="G23" s="1167"/>
      <c r="H23" s="1168">
        <f t="shared" si="19"/>
        <v>0</v>
      </c>
      <c r="I23" s="1166"/>
      <c r="J23" s="1169"/>
      <c r="K23" s="1169"/>
      <c r="L23" s="1167"/>
      <c r="M23" s="1168">
        <f t="shared" si="20"/>
        <v>0</v>
      </c>
      <c r="N23" s="1166"/>
      <c r="O23" s="1169"/>
      <c r="P23" s="1169"/>
      <c r="Q23" s="1167"/>
      <c r="R23" s="1248"/>
      <c r="S23" s="1218">
        <v>2000</v>
      </c>
      <c r="T23" s="704">
        <f t="shared" si="4"/>
        <v>2000</v>
      </c>
      <c r="U23" s="2072"/>
      <c r="V23" s="1271">
        <v>2000</v>
      </c>
      <c r="W23" s="704">
        <f t="shared" si="21"/>
        <v>2000</v>
      </c>
      <c r="X23" s="990">
        <f t="shared" si="1"/>
        <v>100</v>
      </c>
      <c r="Y23" s="1002">
        <f t="shared" si="22"/>
        <v>2400</v>
      </c>
      <c r="Z23" s="501">
        <f t="shared" si="23"/>
        <v>480</v>
      </c>
      <c r="AA23">
        <f t="shared" si="8"/>
        <v>500</v>
      </c>
    </row>
    <row r="24" spans="1:27" ht="25.15" customHeight="1">
      <c r="A24" s="1163"/>
      <c r="B24" s="1170">
        <v>722435</v>
      </c>
      <c r="C24" s="1165" t="s">
        <v>102</v>
      </c>
      <c r="D24" s="1166"/>
      <c r="E24" s="1169">
        <v>66564.81</v>
      </c>
      <c r="F24" s="1169">
        <v>324728.34999999998</v>
      </c>
      <c r="G24" s="1167"/>
      <c r="H24" s="1168">
        <f t="shared" si="19"/>
        <v>391293.16</v>
      </c>
      <c r="I24" s="1166"/>
      <c r="J24" s="1169">
        <v>66564.81</v>
      </c>
      <c r="K24" s="1169">
        <v>324728.34999999998</v>
      </c>
      <c r="L24" s="1167"/>
      <c r="M24" s="1168">
        <f t="shared" si="20"/>
        <v>391293.16</v>
      </c>
      <c r="N24" s="1166"/>
      <c r="O24" s="1169">
        <v>67596.570000000007</v>
      </c>
      <c r="P24" s="1169">
        <v>324728.34999999998</v>
      </c>
      <c r="Q24" s="1167"/>
      <c r="R24" s="1248">
        <v>324728.34999999998</v>
      </c>
      <c r="S24" s="1218">
        <v>250000</v>
      </c>
      <c r="T24" s="704">
        <f t="shared" si="4"/>
        <v>574728.35</v>
      </c>
      <c r="U24" s="2072"/>
      <c r="V24" s="1271">
        <v>60000</v>
      </c>
      <c r="W24" s="704">
        <f t="shared" si="21"/>
        <v>60000</v>
      </c>
      <c r="X24" s="990">
        <f t="shared" si="1"/>
        <v>10.439714693037153</v>
      </c>
      <c r="Y24" s="1002">
        <f t="shared" si="22"/>
        <v>72000</v>
      </c>
      <c r="Z24" s="501">
        <f t="shared" si="23"/>
        <v>14400</v>
      </c>
      <c r="AA24">
        <f t="shared" si="8"/>
        <v>15000</v>
      </c>
    </row>
    <row r="25" spans="1:27" s="495" customFormat="1" ht="25.15" customHeight="1">
      <c r="A25" s="1156">
        <v>223</v>
      </c>
      <c r="B25" s="1174"/>
      <c r="C25" s="1158" t="s">
        <v>620</v>
      </c>
      <c r="D25" s="1159"/>
      <c r="E25" s="1162">
        <f>SUM(E26:E31,E32)</f>
        <v>130761.97</v>
      </c>
      <c r="F25" s="1162">
        <f>SUM(F26:F31)</f>
        <v>166249.48000000001</v>
      </c>
      <c r="G25" s="1160">
        <f>SUM(G26:G31)</f>
        <v>0</v>
      </c>
      <c r="H25" s="1161">
        <f>SUM(H26:H31,H32)</f>
        <v>297011.44999999995</v>
      </c>
      <c r="I25" s="1159"/>
      <c r="J25" s="1162">
        <f>SUM(J26:J31,J32)</f>
        <v>138374</v>
      </c>
      <c r="K25" s="1162">
        <f>SUM(K26:K31)</f>
        <v>166249.48000000001</v>
      </c>
      <c r="L25" s="1160">
        <f>SUM(L26:L31)</f>
        <v>0</v>
      </c>
      <c r="M25" s="1161">
        <f>SUM(M26:M31,M32)</f>
        <v>304623.48</v>
      </c>
      <c r="N25" s="1159"/>
      <c r="O25" s="1162">
        <f>SUM(O26:O31,O32)</f>
        <v>138375.83000000002</v>
      </c>
      <c r="P25" s="1162">
        <f>SUM(P26:P31)</f>
        <v>166249.48000000001</v>
      </c>
      <c r="Q25" s="1160">
        <f>SUM(Q26:Q31)</f>
        <v>0</v>
      </c>
      <c r="R25" s="1246">
        <f>SUM(R26:R31)</f>
        <v>166249.48000000001</v>
      </c>
      <c r="S25" s="1247">
        <f>SUM(S26:S31,S32)</f>
        <v>193025</v>
      </c>
      <c r="T25" s="1155">
        <f>SUM(T26:T31,T32)</f>
        <v>359274.48</v>
      </c>
      <c r="U25" s="2072"/>
      <c r="V25" s="2233">
        <f>SUM(V26:V32,)</f>
        <v>55000</v>
      </c>
      <c r="W25" s="704">
        <f t="shared" ref="W25:W32" si="24">V25+U25</f>
        <v>55000</v>
      </c>
      <c r="X25" s="990">
        <f>W25/T26*100</f>
        <v>220000</v>
      </c>
      <c r="Y25" s="1002"/>
      <c r="Z25" s="501" t="e">
        <f>(#REF!/80%)*20%</f>
        <v>#REF!</v>
      </c>
      <c r="AA25">
        <f t="shared" si="8"/>
        <v>13750</v>
      </c>
    </row>
    <row r="26" spans="1:27" ht="25.15" customHeight="1">
      <c r="A26" s="1163"/>
      <c r="B26" s="1164">
        <v>721211</v>
      </c>
      <c r="C26" s="1165" t="s">
        <v>90</v>
      </c>
      <c r="D26" s="1166"/>
      <c r="E26" s="1169">
        <v>13.97</v>
      </c>
      <c r="F26" s="1169"/>
      <c r="G26" s="1167"/>
      <c r="H26" s="1168">
        <f t="shared" ref="H26:H32" si="25">D26+E26+G26+F26</f>
        <v>13.97</v>
      </c>
      <c r="I26" s="1166"/>
      <c r="J26" s="1169">
        <v>17</v>
      </c>
      <c r="K26" s="1169"/>
      <c r="L26" s="1167"/>
      <c r="M26" s="1168">
        <f t="shared" ref="M26:M32" si="26">I26+J26+L26+K26</f>
        <v>17</v>
      </c>
      <c r="N26" s="1166"/>
      <c r="O26" s="1169">
        <v>18.829999999999998</v>
      </c>
      <c r="P26" s="1169"/>
      <c r="Q26" s="1167"/>
      <c r="R26" s="1248"/>
      <c r="S26" s="1218">
        <v>25</v>
      </c>
      <c r="T26" s="704">
        <f t="shared" ref="T26:T32" si="27">S26+R26</f>
        <v>25</v>
      </c>
      <c r="U26" s="2072"/>
      <c r="V26" s="1271">
        <v>5</v>
      </c>
      <c r="W26" s="704">
        <f t="shared" si="24"/>
        <v>5</v>
      </c>
      <c r="X26" s="990">
        <f>W26/T27*100</f>
        <v>0.16666666666666669</v>
      </c>
      <c r="Y26" s="1002"/>
      <c r="Z26" s="501"/>
      <c r="AA26">
        <f t="shared" si="8"/>
        <v>1.25</v>
      </c>
    </row>
    <row r="27" spans="1:27" ht="25.15" customHeight="1">
      <c r="A27" s="1163"/>
      <c r="B27" s="1170">
        <v>722431</v>
      </c>
      <c r="C27" s="1165" t="s">
        <v>104</v>
      </c>
      <c r="D27" s="1166"/>
      <c r="E27" s="1169"/>
      <c r="F27" s="1169"/>
      <c r="G27" s="1167"/>
      <c r="H27" s="1168">
        <f t="shared" si="25"/>
        <v>0</v>
      </c>
      <c r="I27" s="1166"/>
      <c r="J27" s="1169"/>
      <c r="K27" s="1169"/>
      <c r="L27" s="1167"/>
      <c r="M27" s="1168">
        <f t="shared" si="26"/>
        <v>0</v>
      </c>
      <c r="N27" s="1166"/>
      <c r="O27" s="1169"/>
      <c r="P27" s="1169"/>
      <c r="Q27" s="1167"/>
      <c r="R27" s="1248"/>
      <c r="S27" s="1218">
        <v>3000</v>
      </c>
      <c r="T27" s="704">
        <f t="shared" si="27"/>
        <v>3000</v>
      </c>
      <c r="U27" s="2072"/>
      <c r="V27" s="1271">
        <v>9995</v>
      </c>
      <c r="W27" s="704">
        <f t="shared" si="24"/>
        <v>9995</v>
      </c>
      <c r="X27" s="990">
        <f>W27/T28*100</f>
        <v>28.557142857142857</v>
      </c>
      <c r="Y27" s="1002">
        <f t="shared" si="22"/>
        <v>11994</v>
      </c>
      <c r="Z27" s="501">
        <f t="shared" ref="Z27:Z30" si="28">Y27-(Y27*80%)</f>
        <v>2398.7999999999993</v>
      </c>
      <c r="AA27">
        <f t="shared" si="8"/>
        <v>2498.75</v>
      </c>
    </row>
    <row r="28" spans="1:27" ht="25.15" customHeight="1">
      <c r="A28" s="1163"/>
      <c r="B28" s="1172">
        <v>722433</v>
      </c>
      <c r="C28" s="1165" t="s">
        <v>105</v>
      </c>
      <c r="D28" s="1166"/>
      <c r="E28" s="1169">
        <v>26240</v>
      </c>
      <c r="F28" s="1169"/>
      <c r="G28" s="1167"/>
      <c r="H28" s="1168">
        <f t="shared" si="25"/>
        <v>26240</v>
      </c>
      <c r="I28" s="1166"/>
      <c r="J28" s="1169">
        <v>26240</v>
      </c>
      <c r="K28" s="1169"/>
      <c r="L28" s="1167"/>
      <c r="M28" s="1168">
        <f t="shared" si="26"/>
        <v>26240</v>
      </c>
      <c r="N28" s="1166"/>
      <c r="O28" s="1169">
        <v>26240</v>
      </c>
      <c r="P28" s="1169"/>
      <c r="Q28" s="1167"/>
      <c r="R28" s="1248"/>
      <c r="S28" s="1218">
        <v>35000</v>
      </c>
      <c r="T28" s="704">
        <f t="shared" si="27"/>
        <v>35000</v>
      </c>
      <c r="U28" s="2072"/>
      <c r="V28" s="1271">
        <v>5000</v>
      </c>
      <c r="W28" s="704">
        <f t="shared" si="24"/>
        <v>5000</v>
      </c>
      <c r="X28" s="990">
        <f>W28/T29*100</f>
        <v>100</v>
      </c>
      <c r="Y28" s="1002">
        <f t="shared" si="22"/>
        <v>6000</v>
      </c>
      <c r="Z28" s="501">
        <f t="shared" si="28"/>
        <v>1200</v>
      </c>
      <c r="AA28">
        <f t="shared" si="8"/>
        <v>1250</v>
      </c>
    </row>
    <row r="29" spans="1:27" ht="25.15" customHeight="1">
      <c r="A29" s="1163"/>
      <c r="B29" s="1172">
        <v>722434</v>
      </c>
      <c r="C29" s="1165" t="s">
        <v>101</v>
      </c>
      <c r="D29" s="1166"/>
      <c r="E29" s="1169"/>
      <c r="F29" s="1169"/>
      <c r="G29" s="1167"/>
      <c r="H29" s="1168">
        <f t="shared" si="25"/>
        <v>0</v>
      </c>
      <c r="I29" s="1166"/>
      <c r="J29" s="1169"/>
      <c r="K29" s="1169"/>
      <c r="L29" s="1167"/>
      <c r="M29" s="1168">
        <f t="shared" si="26"/>
        <v>0</v>
      </c>
      <c r="N29" s="1166"/>
      <c r="O29" s="1169"/>
      <c r="P29" s="1169"/>
      <c r="Q29" s="1167"/>
      <c r="R29" s="1248"/>
      <c r="S29" s="1218">
        <v>5000</v>
      </c>
      <c r="T29" s="704">
        <f t="shared" si="27"/>
        <v>5000</v>
      </c>
      <c r="U29" s="2072"/>
      <c r="V29" s="1271">
        <v>5000</v>
      </c>
      <c r="W29" s="704">
        <f t="shared" si="24"/>
        <v>5000</v>
      </c>
      <c r="X29" s="990">
        <f>W29/T30*100</f>
        <v>1.5810302676228909</v>
      </c>
      <c r="Y29" s="1002">
        <f t="shared" si="22"/>
        <v>6000</v>
      </c>
      <c r="Z29" s="501">
        <f t="shared" si="28"/>
        <v>1200</v>
      </c>
      <c r="AA29">
        <f t="shared" si="8"/>
        <v>1250</v>
      </c>
    </row>
    <row r="30" spans="1:27" ht="25.15" customHeight="1">
      <c r="A30" s="1163"/>
      <c r="B30" s="1170">
        <v>722435</v>
      </c>
      <c r="C30" s="1165" t="s">
        <v>106</v>
      </c>
      <c r="D30" s="1166"/>
      <c r="E30" s="1169">
        <v>104508</v>
      </c>
      <c r="F30" s="1169">
        <v>166249.48000000001</v>
      </c>
      <c r="G30" s="1167"/>
      <c r="H30" s="1168">
        <f t="shared" si="25"/>
        <v>270757.48</v>
      </c>
      <c r="I30" s="1166"/>
      <c r="J30" s="1169">
        <v>112117</v>
      </c>
      <c r="K30" s="1169">
        <v>166249.48000000001</v>
      </c>
      <c r="L30" s="1167"/>
      <c r="M30" s="1168">
        <f t="shared" si="26"/>
        <v>278366.48</v>
      </c>
      <c r="N30" s="1166"/>
      <c r="O30" s="1169">
        <v>112117</v>
      </c>
      <c r="P30" s="1169">
        <v>166249.48000000001</v>
      </c>
      <c r="Q30" s="1167"/>
      <c r="R30" s="1248">
        <v>166249.48000000001</v>
      </c>
      <c r="S30" s="1218">
        <v>150000</v>
      </c>
      <c r="T30" s="704">
        <f t="shared" si="27"/>
        <v>316249.48</v>
      </c>
      <c r="U30" s="2072"/>
      <c r="V30" s="1271">
        <v>35000</v>
      </c>
      <c r="W30" s="704">
        <f t="shared" si="24"/>
        <v>35000</v>
      </c>
      <c r="X30" s="990"/>
      <c r="Y30" s="1002">
        <f>V30*1.2</f>
        <v>42000</v>
      </c>
      <c r="Z30" s="501">
        <f t="shared" si="28"/>
        <v>8400</v>
      </c>
      <c r="AA30">
        <f t="shared" si="8"/>
        <v>8750</v>
      </c>
    </row>
    <row r="31" spans="1:27" ht="25.15" customHeight="1">
      <c r="A31" s="1163"/>
      <c r="B31" s="1170">
        <v>722436</v>
      </c>
      <c r="C31" s="1165" t="s">
        <v>1486</v>
      </c>
      <c r="D31" s="1166"/>
      <c r="E31" s="1175"/>
      <c r="F31" s="1169"/>
      <c r="G31" s="1167"/>
      <c r="H31" s="1168">
        <f t="shared" si="25"/>
        <v>0</v>
      </c>
      <c r="I31" s="1166"/>
      <c r="J31" s="1175"/>
      <c r="K31" s="1169"/>
      <c r="L31" s="1167"/>
      <c r="M31" s="1168">
        <f t="shared" si="26"/>
        <v>0</v>
      </c>
      <c r="N31" s="1166"/>
      <c r="O31" s="1175"/>
      <c r="P31" s="1169"/>
      <c r="Q31" s="1167"/>
      <c r="R31" s="1248"/>
      <c r="S31" s="1218"/>
      <c r="T31" s="704">
        <f t="shared" si="27"/>
        <v>0</v>
      </c>
      <c r="U31" s="2072"/>
      <c r="V31" s="1271"/>
      <c r="W31" s="1754"/>
      <c r="X31" s="2242"/>
      <c r="Y31" s="1002"/>
      <c r="Z31" s="501"/>
      <c r="AA31">
        <f t="shared" si="8"/>
        <v>0</v>
      </c>
    </row>
    <row r="32" spans="1:27" ht="25.15" customHeight="1">
      <c r="A32" s="1163"/>
      <c r="B32" s="1170">
        <v>722435</v>
      </c>
      <c r="C32" s="1165" t="s">
        <v>1487</v>
      </c>
      <c r="D32" s="1166"/>
      <c r="E32" s="1175"/>
      <c r="F32" s="1169"/>
      <c r="G32" s="1167"/>
      <c r="H32" s="1168">
        <f t="shared" si="25"/>
        <v>0</v>
      </c>
      <c r="I32" s="1166"/>
      <c r="J32" s="1175"/>
      <c r="K32" s="1169"/>
      <c r="L32" s="1167"/>
      <c r="M32" s="1168">
        <f t="shared" si="26"/>
        <v>0</v>
      </c>
      <c r="N32" s="1166"/>
      <c r="O32" s="1175"/>
      <c r="P32" s="1169"/>
      <c r="Q32" s="1167"/>
      <c r="R32" s="1248"/>
      <c r="S32" s="1218"/>
      <c r="T32" s="704">
        <f t="shared" si="27"/>
        <v>0</v>
      </c>
      <c r="U32" s="2072"/>
      <c r="V32" s="1271"/>
      <c r="W32" s="704">
        <f t="shared" si="24"/>
        <v>0</v>
      </c>
      <c r="X32" s="990"/>
      <c r="Y32" s="1002"/>
      <c r="Z32" s="501">
        <f>(V32/80%)*20%</f>
        <v>0</v>
      </c>
      <c r="AA32">
        <f t="shared" si="8"/>
        <v>0</v>
      </c>
    </row>
    <row r="33" spans="1:27" s="495" customFormat="1" ht="25.15" customHeight="1">
      <c r="A33" s="1156">
        <v>223</v>
      </c>
      <c r="B33" s="1174"/>
      <c r="C33" s="1158" t="s">
        <v>621</v>
      </c>
      <c r="D33" s="1159"/>
      <c r="E33" s="1162">
        <f>SUM(E34:E39)</f>
        <v>710574.94</v>
      </c>
      <c r="F33" s="1162">
        <f>SUM(F34:F39)</f>
        <v>949482.78</v>
      </c>
      <c r="G33" s="1160">
        <f>SUM(G34:G38)</f>
        <v>0</v>
      </c>
      <c r="H33" s="1161">
        <f>SUM(H34:H39)</f>
        <v>1660057.72</v>
      </c>
      <c r="I33" s="1159"/>
      <c r="J33" s="1162">
        <f>SUM(J34:J39)</f>
        <v>713583.22</v>
      </c>
      <c r="K33" s="1162">
        <f>SUM(K34:K39)</f>
        <v>949482.78</v>
      </c>
      <c r="L33" s="1160">
        <f>SUM(L34:L38)</f>
        <v>0</v>
      </c>
      <c r="M33" s="1161">
        <f>SUM(M34:M39)</f>
        <v>1663066</v>
      </c>
      <c r="N33" s="1159"/>
      <c r="O33" s="1162">
        <f>SUM(O34:O39)</f>
        <v>721630.5</v>
      </c>
      <c r="P33" s="1162">
        <f>SUM(P34:P39)</f>
        <v>949482.78</v>
      </c>
      <c r="Q33" s="1160">
        <f>SUM(Q34:Q38)</f>
        <v>0</v>
      </c>
      <c r="R33" s="1246">
        <f t="shared" ref="R33:T33" si="29">SUM(R34:R39)</f>
        <v>949482.78</v>
      </c>
      <c r="S33" s="1247">
        <f t="shared" si="29"/>
        <v>1550113</v>
      </c>
      <c r="T33" s="1155">
        <f t="shared" si="29"/>
        <v>2499595.7800000003</v>
      </c>
      <c r="U33" s="2072"/>
      <c r="V33" s="2996">
        <f>SUM(V34:V38)</f>
        <v>1200000</v>
      </c>
      <c r="W33" s="2988">
        <f t="shared" ref="W33:W38" si="30">V33+U33</f>
        <v>1200000</v>
      </c>
      <c r="X33" s="990"/>
      <c r="Y33" s="1002"/>
      <c r="Z33" s="501"/>
      <c r="AA33">
        <f t="shared" si="8"/>
        <v>300000</v>
      </c>
    </row>
    <row r="34" spans="1:27" ht="25.15" customHeight="1">
      <c r="A34" s="1163"/>
      <c r="B34" s="1164">
        <v>721211</v>
      </c>
      <c r="C34" s="1165" t="s">
        <v>90</v>
      </c>
      <c r="D34" s="1166"/>
      <c r="E34" s="1169">
        <v>66.319999999999993</v>
      </c>
      <c r="F34" s="1169"/>
      <c r="G34" s="1167"/>
      <c r="H34" s="1168">
        <f t="shared" ref="H34:H39" si="31">D34+E34+G34+F34</f>
        <v>66.319999999999993</v>
      </c>
      <c r="I34" s="1166"/>
      <c r="J34" s="1169">
        <v>75.88</v>
      </c>
      <c r="K34" s="1169"/>
      <c r="L34" s="1167"/>
      <c r="M34" s="1168">
        <f t="shared" ref="M34:M39" si="32">I34+J34+L34+K34</f>
        <v>75.88</v>
      </c>
      <c r="N34" s="1166"/>
      <c r="O34" s="1169">
        <v>84.54</v>
      </c>
      <c r="P34" s="1169"/>
      <c r="Q34" s="1167"/>
      <c r="R34" s="1248"/>
      <c r="S34" s="1218">
        <v>113</v>
      </c>
      <c r="T34" s="704">
        <f t="shared" ref="T34:T39" si="33">S34+R34</f>
        <v>113</v>
      </c>
      <c r="U34" s="2072"/>
      <c r="V34" s="1271">
        <v>15</v>
      </c>
      <c r="W34" s="704">
        <f t="shared" si="30"/>
        <v>15</v>
      </c>
      <c r="X34" s="990">
        <f>W34/T35*100</f>
        <v>0.05</v>
      </c>
      <c r="Y34" s="1002"/>
      <c r="Z34" s="501"/>
      <c r="AA34">
        <f t="shared" si="8"/>
        <v>3.75</v>
      </c>
    </row>
    <row r="35" spans="1:27" ht="25.15" customHeight="1">
      <c r="A35" s="1163"/>
      <c r="B35" s="1170">
        <v>722431</v>
      </c>
      <c r="C35" s="1165" t="s">
        <v>91</v>
      </c>
      <c r="D35" s="1166"/>
      <c r="E35" s="1169">
        <v>22230</v>
      </c>
      <c r="F35" s="1169"/>
      <c r="G35" s="1167"/>
      <c r="H35" s="1168">
        <f t="shared" si="31"/>
        <v>22230</v>
      </c>
      <c r="I35" s="1166"/>
      <c r="J35" s="1169">
        <v>22230</v>
      </c>
      <c r="K35" s="1169"/>
      <c r="L35" s="1167"/>
      <c r="M35" s="1168">
        <f t="shared" si="32"/>
        <v>22230</v>
      </c>
      <c r="N35" s="1166"/>
      <c r="O35" s="1169">
        <v>22230</v>
      </c>
      <c r="P35" s="1169"/>
      <c r="Q35" s="1167"/>
      <c r="R35" s="1248"/>
      <c r="S35" s="1218">
        <v>30000</v>
      </c>
      <c r="T35" s="704">
        <f t="shared" si="33"/>
        <v>30000</v>
      </c>
      <c r="U35" s="2072"/>
      <c r="V35" s="1271">
        <v>90000</v>
      </c>
      <c r="W35" s="704">
        <f t="shared" si="30"/>
        <v>90000</v>
      </c>
      <c r="X35" s="990">
        <f>W35/T36*100</f>
        <v>16.363636363636363</v>
      </c>
      <c r="Y35" s="1002">
        <f>V35*1.2</f>
        <v>108000</v>
      </c>
      <c r="Z35" s="501">
        <f t="shared" ref="Z35:Z38" si="34">Y35-(Y35*80%)</f>
        <v>21600</v>
      </c>
      <c r="AA35">
        <f t="shared" si="8"/>
        <v>22500</v>
      </c>
    </row>
    <row r="36" spans="1:27" ht="25.15" customHeight="1">
      <c r="A36" s="1163"/>
      <c r="B36" s="1172">
        <v>722433</v>
      </c>
      <c r="C36" s="1165" t="s">
        <v>100</v>
      </c>
      <c r="D36" s="1166"/>
      <c r="E36" s="1169">
        <v>400618.91</v>
      </c>
      <c r="F36" s="1169"/>
      <c r="G36" s="1167"/>
      <c r="H36" s="1168">
        <f t="shared" si="31"/>
        <v>400618.91</v>
      </c>
      <c r="I36" s="1166"/>
      <c r="J36" s="1169">
        <v>401412.99</v>
      </c>
      <c r="K36" s="1169"/>
      <c r="L36" s="1167"/>
      <c r="M36" s="1168">
        <f t="shared" si="32"/>
        <v>401412.99</v>
      </c>
      <c r="N36" s="1166"/>
      <c r="O36" s="1169">
        <v>401622.59</v>
      </c>
      <c r="P36" s="1169"/>
      <c r="Q36" s="1167"/>
      <c r="R36" s="1248"/>
      <c r="S36" s="1218">
        <v>550000</v>
      </c>
      <c r="T36" s="704">
        <f t="shared" si="33"/>
        <v>550000</v>
      </c>
      <c r="U36" s="2072"/>
      <c r="V36" s="1271">
        <v>450000</v>
      </c>
      <c r="W36" s="704">
        <f t="shared" si="30"/>
        <v>450000</v>
      </c>
      <c r="X36" s="990">
        <f>W36/T37*100</f>
        <v>2250</v>
      </c>
      <c r="Y36" s="1002">
        <f t="shared" ref="Y36:Y38" si="35">V36*1.2</f>
        <v>540000</v>
      </c>
      <c r="Z36" s="501">
        <f t="shared" si="34"/>
        <v>108000</v>
      </c>
      <c r="AA36">
        <f t="shared" si="8"/>
        <v>112500</v>
      </c>
    </row>
    <row r="37" spans="1:27" ht="25.15" customHeight="1">
      <c r="A37" s="1163"/>
      <c r="B37" s="1172">
        <v>722434</v>
      </c>
      <c r="C37" s="1165" t="s">
        <v>101</v>
      </c>
      <c r="D37" s="1166"/>
      <c r="E37" s="1169"/>
      <c r="F37" s="1169"/>
      <c r="G37" s="1167"/>
      <c r="H37" s="1168">
        <f t="shared" si="31"/>
        <v>0</v>
      </c>
      <c r="I37" s="1166"/>
      <c r="J37" s="1169"/>
      <c r="K37" s="1169"/>
      <c r="L37" s="1167"/>
      <c r="M37" s="1168">
        <f t="shared" si="32"/>
        <v>0</v>
      </c>
      <c r="N37" s="1166"/>
      <c r="O37" s="1169"/>
      <c r="P37" s="1169"/>
      <c r="Q37" s="1167"/>
      <c r="R37" s="1248"/>
      <c r="S37" s="1218">
        <v>20000</v>
      </c>
      <c r="T37" s="704">
        <f t="shared" si="33"/>
        <v>20000</v>
      </c>
      <c r="U37" s="2997"/>
      <c r="V37" s="1271">
        <v>9985</v>
      </c>
      <c r="W37" s="704">
        <f t="shared" si="30"/>
        <v>9985</v>
      </c>
      <c r="X37" s="990">
        <f>W37/T38*100</f>
        <v>0.52566941407070822</v>
      </c>
      <c r="Y37" s="1002">
        <f t="shared" si="35"/>
        <v>11982</v>
      </c>
      <c r="Z37" s="501">
        <f t="shared" si="34"/>
        <v>2396.3999999999996</v>
      </c>
      <c r="AA37">
        <f t="shared" si="8"/>
        <v>2496.25</v>
      </c>
    </row>
    <row r="38" spans="1:27" ht="25.15" customHeight="1">
      <c r="A38" s="1163"/>
      <c r="B38" s="1170">
        <v>722435</v>
      </c>
      <c r="C38" s="1165" t="s">
        <v>102</v>
      </c>
      <c r="D38" s="1166"/>
      <c r="E38" s="1176">
        <v>287659.71000000002</v>
      </c>
      <c r="F38" s="1176">
        <v>949482.78</v>
      </c>
      <c r="G38" s="1167"/>
      <c r="H38" s="1168">
        <f t="shared" si="31"/>
        <v>1237142.49</v>
      </c>
      <c r="I38" s="1166"/>
      <c r="J38" s="1176">
        <v>289864.34999999998</v>
      </c>
      <c r="K38" s="1176">
        <v>949482.78</v>
      </c>
      <c r="L38" s="1167"/>
      <c r="M38" s="1168">
        <f t="shared" si="32"/>
        <v>1239347.1299999999</v>
      </c>
      <c r="N38" s="1166"/>
      <c r="O38" s="1176">
        <v>297693.37</v>
      </c>
      <c r="P38" s="1176">
        <v>949482.78</v>
      </c>
      <c r="Q38" s="1167"/>
      <c r="R38" s="1249">
        <v>949482.78</v>
      </c>
      <c r="S38" s="1250">
        <v>950000</v>
      </c>
      <c r="T38" s="704">
        <f t="shared" si="33"/>
        <v>1899482.78</v>
      </c>
      <c r="U38" s="2072"/>
      <c r="V38" s="2998">
        <v>650000</v>
      </c>
      <c r="W38" s="704">
        <f t="shared" si="30"/>
        <v>650000</v>
      </c>
      <c r="X38" s="990"/>
      <c r="Y38" s="1002">
        <f t="shared" si="35"/>
        <v>780000</v>
      </c>
      <c r="Z38" s="501">
        <f t="shared" si="34"/>
        <v>156000</v>
      </c>
      <c r="AA38">
        <f t="shared" si="8"/>
        <v>162500</v>
      </c>
    </row>
    <row r="39" spans="1:27" ht="25.15" customHeight="1">
      <c r="A39" s="1163"/>
      <c r="B39" s="1170">
        <v>722436</v>
      </c>
      <c r="C39" s="1165" t="s">
        <v>1488</v>
      </c>
      <c r="D39" s="1166"/>
      <c r="E39" s="1175"/>
      <c r="F39" s="1169"/>
      <c r="G39" s="1167"/>
      <c r="H39" s="1168">
        <f t="shared" si="31"/>
        <v>0</v>
      </c>
      <c r="I39" s="1166"/>
      <c r="J39" s="1175"/>
      <c r="K39" s="1169"/>
      <c r="L39" s="1167"/>
      <c r="M39" s="1168">
        <f t="shared" si="32"/>
        <v>0</v>
      </c>
      <c r="N39" s="1166"/>
      <c r="O39" s="1175"/>
      <c r="P39" s="1169"/>
      <c r="Q39" s="1167"/>
      <c r="R39" s="1248"/>
      <c r="S39" s="1218"/>
      <c r="T39" s="704">
        <f t="shared" si="33"/>
        <v>0</v>
      </c>
      <c r="U39" s="2072"/>
      <c r="V39" s="2998"/>
      <c r="W39" s="1754"/>
      <c r="X39" s="2242"/>
      <c r="Y39" s="1002"/>
      <c r="Z39" s="501"/>
      <c r="AA39">
        <f t="shared" si="8"/>
        <v>0</v>
      </c>
    </row>
    <row r="40" spans="1:27" s="495" customFormat="1" ht="25.15" customHeight="1">
      <c r="A40" s="1156">
        <v>223</v>
      </c>
      <c r="B40" s="1174"/>
      <c r="C40" s="1158" t="s">
        <v>622</v>
      </c>
      <c r="D40" s="1159"/>
      <c r="E40" s="1162" t="e">
        <f>SUM(E41:E46,#REF!)</f>
        <v>#REF!</v>
      </c>
      <c r="F40" s="1162">
        <f>SUM(F41:F46)</f>
        <v>1866673.27</v>
      </c>
      <c r="G40" s="1160">
        <f>SUM(G41:G45)</f>
        <v>0</v>
      </c>
      <c r="H40" s="1161" t="e">
        <f>SUM(H41:H46,#REF!)</f>
        <v>#REF!</v>
      </c>
      <c r="I40" s="1159"/>
      <c r="J40" s="1162" t="e">
        <f>SUM(J41:J46,#REF!)</f>
        <v>#REF!</v>
      </c>
      <c r="K40" s="1162">
        <f>SUM(K41:K46)</f>
        <v>1866673.27</v>
      </c>
      <c r="L40" s="1160">
        <f>SUM(L41:L45)</f>
        <v>0</v>
      </c>
      <c r="M40" s="1161" t="e">
        <f>SUM(M41:M46,#REF!)</f>
        <v>#REF!</v>
      </c>
      <c r="N40" s="1159"/>
      <c r="O40" s="1162" t="e">
        <f>SUM(O41:O46,#REF!)</f>
        <v>#REF!</v>
      </c>
      <c r="P40" s="1162">
        <f>SUM(P41:P46)</f>
        <v>1866673.27</v>
      </c>
      <c r="Q40" s="1160">
        <f>SUM(Q41:Q45)</f>
        <v>0</v>
      </c>
      <c r="R40" s="1246">
        <f>SUM(R41:R46)</f>
        <v>1866673.27</v>
      </c>
      <c r="S40" s="1247">
        <f>SUM(S41:S46,)</f>
        <v>810200</v>
      </c>
      <c r="T40" s="1155">
        <f>SUM(T41:T46,)</f>
        <v>2676873.27</v>
      </c>
      <c r="U40" s="2072"/>
      <c r="V40" s="2996">
        <f>SUM(V41:V46,)</f>
        <v>570000</v>
      </c>
      <c r="W40" s="2988">
        <f>V40+U40</f>
        <v>570000</v>
      </c>
      <c r="X40" s="990">
        <f>W40/T41*100</f>
        <v>285000</v>
      </c>
      <c r="Y40" s="1002"/>
      <c r="Z40" s="501"/>
      <c r="AA40">
        <f t="shared" si="8"/>
        <v>142500</v>
      </c>
    </row>
    <row r="41" spans="1:27" ht="25.15" customHeight="1">
      <c r="A41" s="1163"/>
      <c r="B41" s="1164">
        <v>721211</v>
      </c>
      <c r="C41" s="1165" t="s">
        <v>90</v>
      </c>
      <c r="D41" s="1166"/>
      <c r="E41" s="1169">
        <v>91.98</v>
      </c>
      <c r="F41" s="1169"/>
      <c r="G41" s="1167"/>
      <c r="H41" s="1168">
        <f t="shared" ref="H41:H46" si="36">D41+E41+G41+F41</f>
        <v>91.98</v>
      </c>
      <c r="I41" s="1166"/>
      <c r="J41" s="1169">
        <v>104.51</v>
      </c>
      <c r="K41" s="1169"/>
      <c r="L41" s="1167"/>
      <c r="M41" s="1168">
        <f t="shared" ref="M41:M46" si="37">I41+J41+L41+K41</f>
        <v>104.51</v>
      </c>
      <c r="N41" s="1166"/>
      <c r="O41" s="1169">
        <v>116.08</v>
      </c>
      <c r="P41" s="1169"/>
      <c r="Q41" s="1167"/>
      <c r="R41" s="1248"/>
      <c r="S41" s="1218">
        <v>200</v>
      </c>
      <c r="T41" s="704">
        <f t="shared" ref="T41:T46" si="38">S41+R41</f>
        <v>200</v>
      </c>
      <c r="U41" s="2072"/>
      <c r="V41" s="1271">
        <v>15</v>
      </c>
      <c r="W41" s="704">
        <f t="shared" ref="W41:W45" si="39">V41+U41</f>
        <v>15</v>
      </c>
      <c r="X41" s="990">
        <f>W41/T42*100</f>
        <v>0.3</v>
      </c>
      <c r="Y41" s="1002"/>
      <c r="Z41" s="501"/>
      <c r="AA41">
        <f t="shared" si="8"/>
        <v>3.75</v>
      </c>
    </row>
    <row r="42" spans="1:27" ht="25.15" customHeight="1">
      <c r="A42" s="1163"/>
      <c r="B42" s="1170">
        <v>722431</v>
      </c>
      <c r="C42" s="1165" t="s">
        <v>96</v>
      </c>
      <c r="D42" s="1166"/>
      <c r="E42" s="1169">
        <v>2364.8000000000002</v>
      </c>
      <c r="F42" s="1169"/>
      <c r="G42" s="1167"/>
      <c r="H42" s="1168">
        <f t="shared" si="36"/>
        <v>2364.8000000000002</v>
      </c>
      <c r="I42" s="1166"/>
      <c r="J42" s="1169">
        <v>3964.8</v>
      </c>
      <c r="K42" s="1169"/>
      <c r="L42" s="1167"/>
      <c r="M42" s="1168">
        <f t="shared" si="37"/>
        <v>3964.8</v>
      </c>
      <c r="N42" s="1166"/>
      <c r="O42" s="1169">
        <v>3964.8</v>
      </c>
      <c r="P42" s="1169"/>
      <c r="Q42" s="1167"/>
      <c r="R42" s="1248"/>
      <c r="S42" s="1218">
        <v>5000</v>
      </c>
      <c r="T42" s="704">
        <f t="shared" si="38"/>
        <v>5000</v>
      </c>
      <c r="U42" s="2072"/>
      <c r="V42" s="1271">
        <v>200000</v>
      </c>
      <c r="W42" s="704">
        <f t="shared" si="39"/>
        <v>200000</v>
      </c>
      <c r="X42" s="990">
        <f>W42/T43*100</f>
        <v>51.752905854503481</v>
      </c>
      <c r="Y42" s="1002">
        <f>V42*1.2</f>
        <v>240000</v>
      </c>
      <c r="Z42" s="501">
        <f t="shared" ref="Z42:Z45" si="40">Y42-(Y42*80%)</f>
        <v>48000</v>
      </c>
      <c r="AA42">
        <f t="shared" si="8"/>
        <v>50000</v>
      </c>
    </row>
    <row r="43" spans="1:27" ht="25.15" customHeight="1">
      <c r="A43" s="1163"/>
      <c r="B43" s="1172">
        <v>722433</v>
      </c>
      <c r="C43" s="1165" t="s">
        <v>100</v>
      </c>
      <c r="D43" s="1166"/>
      <c r="E43" s="1169">
        <v>37767.11</v>
      </c>
      <c r="F43" s="1169">
        <v>86451.73</v>
      </c>
      <c r="G43" s="1167"/>
      <c r="H43" s="1168">
        <f t="shared" si="36"/>
        <v>124218.84</v>
      </c>
      <c r="I43" s="1166"/>
      <c r="J43" s="1169">
        <v>37767.11</v>
      </c>
      <c r="K43" s="1169">
        <v>86451.73</v>
      </c>
      <c r="L43" s="1167"/>
      <c r="M43" s="1168">
        <f t="shared" si="37"/>
        <v>124218.84</v>
      </c>
      <c r="N43" s="1166"/>
      <c r="O43" s="1169">
        <v>40021.54</v>
      </c>
      <c r="P43" s="1169">
        <v>86451.73</v>
      </c>
      <c r="Q43" s="1167"/>
      <c r="R43" s="1248">
        <v>86451.73</v>
      </c>
      <c r="S43" s="1218">
        <v>300000</v>
      </c>
      <c r="T43" s="704">
        <f t="shared" si="38"/>
        <v>386451.73</v>
      </c>
      <c r="U43" s="2072"/>
      <c r="V43" s="1271">
        <v>49985</v>
      </c>
      <c r="W43" s="704">
        <f t="shared" si="39"/>
        <v>49985</v>
      </c>
      <c r="X43" s="990"/>
      <c r="Y43" s="1002">
        <f t="shared" ref="Y43:Y45" si="41">V43*1.2</f>
        <v>59982</v>
      </c>
      <c r="Z43" s="501">
        <f t="shared" si="40"/>
        <v>11996.399999999994</v>
      </c>
      <c r="AA43">
        <f t="shared" si="8"/>
        <v>12496.25</v>
      </c>
    </row>
    <row r="44" spans="1:27" ht="25.15" customHeight="1">
      <c r="A44" s="1163"/>
      <c r="B44" s="1172">
        <v>722434</v>
      </c>
      <c r="C44" s="1165" t="s">
        <v>101</v>
      </c>
      <c r="D44" s="1166"/>
      <c r="E44" s="1169"/>
      <c r="F44" s="1169"/>
      <c r="G44" s="1167"/>
      <c r="H44" s="1168">
        <f t="shared" si="36"/>
        <v>0</v>
      </c>
      <c r="I44" s="1166"/>
      <c r="J44" s="1169"/>
      <c r="K44" s="1169"/>
      <c r="L44" s="1167"/>
      <c r="M44" s="1168">
        <f t="shared" si="37"/>
        <v>0</v>
      </c>
      <c r="N44" s="1166"/>
      <c r="O44" s="1169"/>
      <c r="P44" s="1169"/>
      <c r="Q44" s="1167"/>
      <c r="R44" s="1248"/>
      <c r="S44" s="1218">
        <v>5000</v>
      </c>
      <c r="T44" s="704">
        <f t="shared" si="38"/>
        <v>5000</v>
      </c>
      <c r="U44" s="2072"/>
      <c r="V44" s="1271">
        <v>20000</v>
      </c>
      <c r="W44" s="704">
        <f t="shared" si="39"/>
        <v>20000</v>
      </c>
      <c r="X44" s="990">
        <f>W44/T44*100</f>
        <v>400</v>
      </c>
      <c r="Y44" s="1002">
        <f t="shared" si="41"/>
        <v>24000</v>
      </c>
      <c r="Z44" s="501">
        <f t="shared" si="40"/>
        <v>4800</v>
      </c>
      <c r="AA44">
        <f t="shared" si="8"/>
        <v>5000</v>
      </c>
    </row>
    <row r="45" spans="1:27" ht="25.15" customHeight="1">
      <c r="A45" s="1163"/>
      <c r="B45" s="1170">
        <v>722435</v>
      </c>
      <c r="C45" s="1165" t="s">
        <v>109</v>
      </c>
      <c r="D45" s="1166"/>
      <c r="E45" s="1169">
        <v>79774</v>
      </c>
      <c r="F45" s="1178">
        <v>1503015.4</v>
      </c>
      <c r="G45" s="1167"/>
      <c r="H45" s="1168">
        <f t="shared" si="36"/>
        <v>1582789.4</v>
      </c>
      <c r="I45" s="1166"/>
      <c r="J45" s="1169">
        <v>79774</v>
      </c>
      <c r="K45" s="1178">
        <v>1503015.4</v>
      </c>
      <c r="L45" s="1167"/>
      <c r="M45" s="1168">
        <f t="shared" si="37"/>
        <v>1582789.4</v>
      </c>
      <c r="N45" s="1166"/>
      <c r="O45" s="1169">
        <v>83924</v>
      </c>
      <c r="P45" s="1178">
        <v>1503015.4</v>
      </c>
      <c r="Q45" s="1167"/>
      <c r="R45" s="1251">
        <v>1503015.4</v>
      </c>
      <c r="S45" s="1218">
        <v>500000</v>
      </c>
      <c r="T45" s="704">
        <f t="shared" si="38"/>
        <v>2003015.4</v>
      </c>
      <c r="U45" s="2241"/>
      <c r="V45" s="1271">
        <v>300000</v>
      </c>
      <c r="W45" s="704">
        <f t="shared" si="39"/>
        <v>300000</v>
      </c>
      <c r="X45" s="990">
        <f>W45/T45*100</f>
        <v>14.977418546058107</v>
      </c>
      <c r="Y45" s="1002">
        <f t="shared" si="41"/>
        <v>360000</v>
      </c>
      <c r="Z45" s="501">
        <f t="shared" si="40"/>
        <v>72000</v>
      </c>
      <c r="AA45">
        <f t="shared" si="8"/>
        <v>75000</v>
      </c>
    </row>
    <row r="46" spans="1:27" ht="33.75" customHeight="1">
      <c r="A46" s="1163"/>
      <c r="B46" s="1172">
        <v>722434</v>
      </c>
      <c r="C46" s="1165" t="s">
        <v>1506</v>
      </c>
      <c r="D46" s="1166"/>
      <c r="E46" s="1175"/>
      <c r="F46" s="1169">
        <v>277206.14</v>
      </c>
      <c r="G46" s="1167"/>
      <c r="H46" s="1168">
        <f t="shared" si="36"/>
        <v>277206.14</v>
      </c>
      <c r="I46" s="1166"/>
      <c r="J46" s="1175"/>
      <c r="K46" s="1169">
        <v>277206.14</v>
      </c>
      <c r="L46" s="1167"/>
      <c r="M46" s="1168">
        <f t="shared" si="37"/>
        <v>277206.14</v>
      </c>
      <c r="N46" s="1166"/>
      <c r="O46" s="1175"/>
      <c r="P46" s="1169">
        <v>277206.14</v>
      </c>
      <c r="Q46" s="1167"/>
      <c r="R46" s="1248">
        <v>277206.14</v>
      </c>
      <c r="S46" s="1218"/>
      <c r="T46" s="704">
        <f t="shared" si="38"/>
        <v>277206.14</v>
      </c>
      <c r="U46" s="2241"/>
      <c r="V46" s="1271"/>
      <c r="W46" s="1754"/>
      <c r="X46" s="2242"/>
      <c r="Y46" s="1002">
        <f t="shared" si="9"/>
        <v>0</v>
      </c>
      <c r="Z46" s="501"/>
      <c r="AA46">
        <f t="shared" si="8"/>
        <v>0</v>
      </c>
    </row>
    <row r="47" spans="1:27" s="495" customFormat="1" ht="25.15" customHeight="1">
      <c r="A47" s="1156">
        <v>223</v>
      </c>
      <c r="B47" s="1174"/>
      <c r="C47" s="1158" t="s">
        <v>623</v>
      </c>
      <c r="D47" s="1159"/>
      <c r="E47" s="1162">
        <f>SUM(E48:E54)</f>
        <v>140368.44999999998</v>
      </c>
      <c r="F47" s="1162">
        <f>SUM(F48:F53)</f>
        <v>625214.71999999997</v>
      </c>
      <c r="G47" s="1160">
        <f>SUM(G48:G52)</f>
        <v>0</v>
      </c>
      <c r="H47" s="1161">
        <f>SUM(H48:H53,H54)</f>
        <v>765583.16999999993</v>
      </c>
      <c r="I47" s="1159"/>
      <c r="J47" s="1162">
        <f>SUM(J48:J54)</f>
        <v>140374.26999999999</v>
      </c>
      <c r="K47" s="1162">
        <f>SUM(K48:K53)</f>
        <v>625214.71999999997</v>
      </c>
      <c r="L47" s="1160">
        <f>SUM(L48:L52)</f>
        <v>0</v>
      </c>
      <c r="M47" s="1161">
        <f>SUM(M48:M53,M54)</f>
        <v>765588.99</v>
      </c>
      <c r="N47" s="1159"/>
      <c r="O47" s="1162">
        <f>SUM(O48:O54)</f>
        <v>140379.91</v>
      </c>
      <c r="P47" s="1162">
        <f>SUM(P48:P53)</f>
        <v>625214.71999999997</v>
      </c>
      <c r="Q47" s="1160">
        <f>SUM(Q48:Q52)</f>
        <v>0</v>
      </c>
      <c r="R47" s="1246">
        <f>SUM(R48:R53)</f>
        <v>625214.71999999997</v>
      </c>
      <c r="S47" s="1247">
        <f>SUM(S48:S54)</f>
        <v>221070</v>
      </c>
      <c r="T47" s="1155">
        <f>SUM(T48:T53,T54)</f>
        <v>846284.72</v>
      </c>
      <c r="U47" s="2995">
        <f>SUM(U48:U53)</f>
        <v>0</v>
      </c>
      <c r="V47" s="2996">
        <f>SUM(V48:V54)</f>
        <v>160000</v>
      </c>
      <c r="W47" s="1155">
        <f>SUM(W48:W53,W54)</f>
        <v>160000</v>
      </c>
      <c r="X47" s="990">
        <f t="shared" ref="X47:X52" si="42">W47/T47*100</f>
        <v>18.906166709473379</v>
      </c>
      <c r="Y47" s="1002">
        <f t="shared" si="9"/>
        <v>40000</v>
      </c>
      <c r="Z47" s="501"/>
      <c r="AA47">
        <f t="shared" si="8"/>
        <v>40000</v>
      </c>
    </row>
    <row r="48" spans="1:27" ht="25.15" customHeight="1">
      <c r="A48" s="1163"/>
      <c r="B48" s="1164">
        <v>721211</v>
      </c>
      <c r="C48" s="1165" t="s">
        <v>90</v>
      </c>
      <c r="D48" s="1166"/>
      <c r="E48" s="1169">
        <v>40.08</v>
      </c>
      <c r="F48" s="1169"/>
      <c r="G48" s="1167"/>
      <c r="H48" s="1168">
        <f t="shared" ref="H48:H54" si="43">D48+E48+G48+F48</f>
        <v>40.08</v>
      </c>
      <c r="I48" s="1166"/>
      <c r="J48" s="1169">
        <v>45.9</v>
      </c>
      <c r="K48" s="1169"/>
      <c r="L48" s="1167"/>
      <c r="M48" s="1168">
        <f t="shared" ref="M48:M54" si="44">I48+J48+L48+K48</f>
        <v>45.9</v>
      </c>
      <c r="N48" s="1166"/>
      <c r="O48" s="1169">
        <v>51.54</v>
      </c>
      <c r="P48" s="1169"/>
      <c r="Q48" s="1167"/>
      <c r="R48" s="1248"/>
      <c r="S48" s="1218">
        <v>70</v>
      </c>
      <c r="T48" s="704">
        <f t="shared" ref="T48:T54" si="45">S48+R48</f>
        <v>70</v>
      </c>
      <c r="U48" s="2072"/>
      <c r="V48" s="1271">
        <v>50</v>
      </c>
      <c r="W48" s="704">
        <f t="shared" ref="W48:W54" si="46">V48+U48</f>
        <v>50</v>
      </c>
      <c r="X48" s="990">
        <f t="shared" si="42"/>
        <v>71.428571428571431</v>
      </c>
      <c r="Y48" s="1002"/>
      <c r="Z48" s="501"/>
      <c r="AA48">
        <f t="shared" si="8"/>
        <v>12.5</v>
      </c>
    </row>
    <row r="49" spans="1:27" ht="25.15" customHeight="1">
      <c r="A49" s="1163"/>
      <c r="B49" s="1170">
        <v>722431</v>
      </c>
      <c r="C49" s="1165" t="s">
        <v>91</v>
      </c>
      <c r="D49" s="1166"/>
      <c r="E49" s="1169"/>
      <c r="F49" s="1169"/>
      <c r="G49" s="1167"/>
      <c r="H49" s="1168">
        <f t="shared" si="43"/>
        <v>0</v>
      </c>
      <c r="I49" s="1166"/>
      <c r="J49" s="1169"/>
      <c r="K49" s="1169"/>
      <c r="L49" s="1167"/>
      <c r="M49" s="1168">
        <f t="shared" si="44"/>
        <v>0</v>
      </c>
      <c r="N49" s="1166"/>
      <c r="O49" s="1169"/>
      <c r="P49" s="1169"/>
      <c r="Q49" s="1167"/>
      <c r="R49" s="1248"/>
      <c r="S49" s="1218">
        <v>1000</v>
      </c>
      <c r="T49" s="704">
        <f t="shared" si="45"/>
        <v>1000</v>
      </c>
      <c r="U49" s="2072"/>
      <c r="V49" s="1271">
        <v>950</v>
      </c>
      <c r="W49" s="704">
        <f t="shared" si="46"/>
        <v>950</v>
      </c>
      <c r="X49" s="990">
        <f t="shared" si="42"/>
        <v>95</v>
      </c>
      <c r="Y49" s="1002">
        <f>V49*1.2</f>
        <v>1140</v>
      </c>
      <c r="Z49" s="501">
        <f>Y49-(Y49*80%)</f>
        <v>228</v>
      </c>
      <c r="AA49">
        <f t="shared" si="8"/>
        <v>237.5</v>
      </c>
    </row>
    <row r="50" spans="1:27" ht="25.15" customHeight="1">
      <c r="A50" s="1163"/>
      <c r="B50" s="1172">
        <v>722433</v>
      </c>
      <c r="C50" s="1165" t="s">
        <v>111</v>
      </c>
      <c r="D50" s="1166"/>
      <c r="E50" s="1169"/>
      <c r="F50" s="1169"/>
      <c r="G50" s="1167"/>
      <c r="H50" s="1168">
        <f t="shared" si="43"/>
        <v>0</v>
      </c>
      <c r="I50" s="1166"/>
      <c r="J50" s="1169"/>
      <c r="K50" s="1169"/>
      <c r="L50" s="1167"/>
      <c r="M50" s="1168">
        <f t="shared" si="44"/>
        <v>0</v>
      </c>
      <c r="N50" s="1166"/>
      <c r="O50" s="1169"/>
      <c r="P50" s="1169"/>
      <c r="Q50" s="1167"/>
      <c r="R50" s="1248"/>
      <c r="S50" s="1218">
        <v>10000</v>
      </c>
      <c r="T50" s="704">
        <f t="shared" si="45"/>
        <v>10000</v>
      </c>
      <c r="U50" s="2072"/>
      <c r="V50" s="1271">
        <v>9000</v>
      </c>
      <c r="W50" s="704">
        <f t="shared" si="46"/>
        <v>9000</v>
      </c>
      <c r="X50" s="990">
        <f t="shared" si="42"/>
        <v>90</v>
      </c>
      <c r="Y50" s="1002">
        <f t="shared" ref="Y50:Y52" si="47">V50*1.2</f>
        <v>10800</v>
      </c>
      <c r="Z50" s="501">
        <f t="shared" ref="Z50:Z52" si="48">Y50-(Y50*80%)</f>
        <v>2160</v>
      </c>
      <c r="AA50">
        <f t="shared" si="8"/>
        <v>2250</v>
      </c>
    </row>
    <row r="51" spans="1:27" ht="25.15" customHeight="1">
      <c r="A51" s="1163"/>
      <c r="B51" s="1172">
        <v>722434</v>
      </c>
      <c r="C51" s="1165" t="s">
        <v>112</v>
      </c>
      <c r="D51" s="1166"/>
      <c r="E51" s="1169"/>
      <c r="F51" s="1169"/>
      <c r="G51" s="1167"/>
      <c r="H51" s="1168">
        <f t="shared" si="43"/>
        <v>0</v>
      </c>
      <c r="I51" s="1166"/>
      <c r="J51" s="1169"/>
      <c r="K51" s="1169"/>
      <c r="L51" s="1167"/>
      <c r="M51" s="1168">
        <f t="shared" si="44"/>
        <v>0</v>
      </c>
      <c r="N51" s="1166"/>
      <c r="O51" s="1169"/>
      <c r="P51" s="1169"/>
      <c r="Q51" s="1167"/>
      <c r="R51" s="1248"/>
      <c r="S51" s="1218">
        <v>10000</v>
      </c>
      <c r="T51" s="704">
        <f t="shared" si="45"/>
        <v>10000</v>
      </c>
      <c r="U51" s="2072"/>
      <c r="V51" s="1271">
        <v>20000</v>
      </c>
      <c r="W51" s="704">
        <f t="shared" si="46"/>
        <v>20000</v>
      </c>
      <c r="X51" s="990">
        <f t="shared" si="42"/>
        <v>200</v>
      </c>
      <c r="Y51" s="1002">
        <f t="shared" si="47"/>
        <v>24000</v>
      </c>
      <c r="Z51" s="501">
        <f t="shared" si="48"/>
        <v>4800</v>
      </c>
      <c r="AA51">
        <f t="shared" si="8"/>
        <v>5000</v>
      </c>
    </row>
    <row r="52" spans="1:27" ht="25.15" customHeight="1">
      <c r="A52" s="1163"/>
      <c r="B52" s="1172">
        <v>722435</v>
      </c>
      <c r="C52" s="1165" t="s">
        <v>113</v>
      </c>
      <c r="D52" s="1166"/>
      <c r="E52" s="1169">
        <v>140328.37</v>
      </c>
      <c r="F52" s="1169">
        <v>625214.71999999997</v>
      </c>
      <c r="G52" s="1167"/>
      <c r="H52" s="1168">
        <f t="shared" si="43"/>
        <v>765543.09</v>
      </c>
      <c r="I52" s="1166"/>
      <c r="J52" s="1169">
        <v>140328.37</v>
      </c>
      <c r="K52" s="1169">
        <v>625214.71999999997</v>
      </c>
      <c r="L52" s="1167"/>
      <c r="M52" s="1168">
        <f t="shared" si="44"/>
        <v>765543.09</v>
      </c>
      <c r="N52" s="1166"/>
      <c r="O52" s="1169">
        <v>140328.37</v>
      </c>
      <c r="P52" s="1169">
        <v>625214.71999999997</v>
      </c>
      <c r="Q52" s="1167"/>
      <c r="R52" s="1248">
        <v>625214.71999999997</v>
      </c>
      <c r="S52" s="1218">
        <v>200000</v>
      </c>
      <c r="T52" s="704">
        <f t="shared" si="45"/>
        <v>825214.72</v>
      </c>
      <c r="U52" s="2072"/>
      <c r="V52" s="1271">
        <v>130000</v>
      </c>
      <c r="W52" s="704">
        <f t="shared" si="46"/>
        <v>130000</v>
      </c>
      <c r="X52" s="990">
        <f t="shared" si="42"/>
        <v>15.753475652979143</v>
      </c>
      <c r="Y52" s="1002">
        <f t="shared" si="47"/>
        <v>156000</v>
      </c>
      <c r="Z52" s="501">
        <f t="shared" si="48"/>
        <v>31200</v>
      </c>
      <c r="AA52">
        <f t="shared" si="8"/>
        <v>32500</v>
      </c>
    </row>
    <row r="53" spans="1:27" ht="25.15" customHeight="1">
      <c r="A53" s="1163"/>
      <c r="B53" s="1172">
        <v>722436</v>
      </c>
      <c r="C53" s="1165" t="s">
        <v>1489</v>
      </c>
      <c r="D53" s="1166"/>
      <c r="E53" s="1169"/>
      <c r="F53" s="1169"/>
      <c r="G53" s="1167"/>
      <c r="H53" s="1168">
        <f t="shared" si="43"/>
        <v>0</v>
      </c>
      <c r="I53" s="1166"/>
      <c r="J53" s="1169"/>
      <c r="K53" s="1169"/>
      <c r="L53" s="1167"/>
      <c r="M53" s="1168">
        <f t="shared" si="44"/>
        <v>0</v>
      </c>
      <c r="N53" s="1166"/>
      <c r="O53" s="1169"/>
      <c r="P53" s="1169"/>
      <c r="Q53" s="1167"/>
      <c r="R53" s="1248"/>
      <c r="S53" s="1218"/>
      <c r="T53" s="704">
        <f t="shared" si="45"/>
        <v>0</v>
      </c>
      <c r="U53" s="2072"/>
      <c r="V53" s="1271"/>
      <c r="W53" s="704">
        <f t="shared" si="46"/>
        <v>0</v>
      </c>
      <c r="X53" s="990"/>
      <c r="Y53" s="1002">
        <f t="shared" si="9"/>
        <v>0</v>
      </c>
      <c r="Z53" s="501">
        <f t="shared" ref="Z53:Z54" si="49">(V53/80%)*20%</f>
        <v>0</v>
      </c>
      <c r="AA53">
        <f t="shared" si="8"/>
        <v>0</v>
      </c>
    </row>
    <row r="54" spans="1:27" ht="25.15" customHeight="1">
      <c r="A54" s="1163"/>
      <c r="B54" s="1172">
        <v>722435</v>
      </c>
      <c r="C54" s="1165" t="s">
        <v>113</v>
      </c>
      <c r="D54" s="1166"/>
      <c r="E54" s="1169"/>
      <c r="F54" s="1169"/>
      <c r="G54" s="1167"/>
      <c r="H54" s="1168">
        <f t="shared" si="43"/>
        <v>0</v>
      </c>
      <c r="I54" s="1166"/>
      <c r="J54" s="1169"/>
      <c r="K54" s="1169"/>
      <c r="L54" s="1167"/>
      <c r="M54" s="1168">
        <f t="shared" si="44"/>
        <v>0</v>
      </c>
      <c r="N54" s="1166"/>
      <c r="O54" s="1169"/>
      <c r="P54" s="1169"/>
      <c r="Q54" s="1167"/>
      <c r="R54" s="1248"/>
      <c r="S54" s="1218"/>
      <c r="T54" s="704">
        <f t="shared" si="45"/>
        <v>0</v>
      </c>
      <c r="U54" s="2072"/>
      <c r="V54" s="1271"/>
      <c r="W54" s="704">
        <f t="shared" si="46"/>
        <v>0</v>
      </c>
      <c r="X54" s="990"/>
      <c r="Y54" s="1002">
        <f t="shared" si="9"/>
        <v>0</v>
      </c>
      <c r="Z54" s="501">
        <f t="shared" si="49"/>
        <v>0</v>
      </c>
      <c r="AA54">
        <f t="shared" si="8"/>
        <v>0</v>
      </c>
    </row>
    <row r="55" spans="1:27" s="495" customFormat="1" ht="25.15" customHeight="1">
      <c r="A55" s="1156">
        <v>223</v>
      </c>
      <c r="B55" s="1179"/>
      <c r="C55" s="1158" t="s">
        <v>624</v>
      </c>
      <c r="D55" s="1180"/>
      <c r="E55" s="1181">
        <f>SUM(E56:E60)</f>
        <v>412810.63</v>
      </c>
      <c r="F55" s="1181">
        <f>SUM(F56:F60)</f>
        <v>0</v>
      </c>
      <c r="G55" s="1177">
        <f>SUM(G56:G60)</f>
        <v>0</v>
      </c>
      <c r="H55" s="1161">
        <f>SUM(H56:H60)</f>
        <v>412810.63</v>
      </c>
      <c r="I55" s="1180"/>
      <c r="J55" s="1181">
        <f>SUM(J56:J60)</f>
        <v>419505.25</v>
      </c>
      <c r="K55" s="1181">
        <f>SUM(K56:K60)</f>
        <v>0</v>
      </c>
      <c r="L55" s="1177">
        <f>SUM(L56:L60)</f>
        <v>0</v>
      </c>
      <c r="M55" s="1161">
        <f>SUM(M56:M60)</f>
        <v>419505.25</v>
      </c>
      <c r="N55" s="1180"/>
      <c r="O55" s="1181">
        <f t="shared" ref="O55:T55" si="50">SUM(O56:O60)</f>
        <v>429374.59</v>
      </c>
      <c r="P55" s="1181">
        <f t="shared" si="50"/>
        <v>0</v>
      </c>
      <c r="Q55" s="1177">
        <f t="shared" si="50"/>
        <v>0</v>
      </c>
      <c r="R55" s="1251">
        <f t="shared" si="50"/>
        <v>0</v>
      </c>
      <c r="S55" s="1252">
        <f t="shared" ref="S55" si="51">SUM(S56:S60)</f>
        <v>1243935</v>
      </c>
      <c r="T55" s="1155">
        <f t="shared" si="50"/>
        <v>1243935</v>
      </c>
      <c r="U55" s="2241">
        <f t="shared" ref="U55:W55" si="52">SUM(U56:U60)</f>
        <v>0</v>
      </c>
      <c r="V55" s="2999">
        <f>SUM(V56:V60)</f>
        <v>781167</v>
      </c>
      <c r="W55" s="1155">
        <f t="shared" si="52"/>
        <v>781167</v>
      </c>
      <c r="X55" s="990">
        <f t="shared" ref="X55:X60" si="53">W55/T55*100</f>
        <v>62.798056168529705</v>
      </c>
      <c r="Y55" s="1002"/>
      <c r="Z55" s="501">
        <f>'[9]PRIH REBALANS'!$AH$128</f>
        <v>813716</v>
      </c>
      <c r="AA55" s="501">
        <f>SUM(AA57:AA60)</f>
        <v>156230.63999999998</v>
      </c>
    </row>
    <row r="56" spans="1:27" ht="25.15" customHeight="1">
      <c r="A56" s="1173"/>
      <c r="B56" s="1164">
        <v>721211</v>
      </c>
      <c r="C56" s="1165" t="s">
        <v>90</v>
      </c>
      <c r="D56" s="1183"/>
      <c r="E56" s="1169">
        <v>4.2699999999999996</v>
      </c>
      <c r="F56" s="1169"/>
      <c r="G56" s="1182"/>
      <c r="H56" s="1168">
        <f>D56+E56+G56+F56</f>
        <v>4.2699999999999996</v>
      </c>
      <c r="I56" s="1183"/>
      <c r="J56" s="1169">
        <v>4.92</v>
      </c>
      <c r="K56" s="1169"/>
      <c r="L56" s="1182"/>
      <c r="M56" s="1168">
        <f>I56+J56+L56+K56</f>
        <v>4.92</v>
      </c>
      <c r="N56" s="1183"/>
      <c r="O56" s="1169">
        <v>4.92</v>
      </c>
      <c r="P56" s="1169"/>
      <c r="Q56" s="1182"/>
      <c r="R56" s="1248"/>
      <c r="S56" s="1218">
        <v>10</v>
      </c>
      <c r="T56" s="704">
        <f t="shared" ref="T56:T60" si="54">S56+R56</f>
        <v>10</v>
      </c>
      <c r="U56" s="2072"/>
      <c r="V56" s="1271">
        <v>15</v>
      </c>
      <c r="W56" s="704">
        <f t="shared" ref="W56:W60" si="55">V56+U56</f>
        <v>15</v>
      </c>
      <c r="X56" s="990">
        <f t="shared" si="53"/>
        <v>150</v>
      </c>
      <c r="Y56" s="1002"/>
      <c r="Z56" s="501"/>
      <c r="AA56">
        <v>15</v>
      </c>
    </row>
    <row r="57" spans="1:27" ht="25.15" customHeight="1">
      <c r="A57" s="1173"/>
      <c r="B57" s="1170">
        <v>722431</v>
      </c>
      <c r="C57" s="1165" t="s">
        <v>96</v>
      </c>
      <c r="D57" s="1184"/>
      <c r="E57" s="1169">
        <v>20615.21</v>
      </c>
      <c r="F57" s="1169"/>
      <c r="G57" s="1182"/>
      <c r="H57" s="1168">
        <f>D57+E57+G57+F57</f>
        <v>20615.21</v>
      </c>
      <c r="I57" s="1184"/>
      <c r="J57" s="1169">
        <v>22834.79</v>
      </c>
      <c r="K57" s="1169"/>
      <c r="L57" s="1182"/>
      <c r="M57" s="1168">
        <f>I57+J57+L57+K57</f>
        <v>22834.79</v>
      </c>
      <c r="N57" s="1184"/>
      <c r="O57" s="1169">
        <v>24712</v>
      </c>
      <c r="P57" s="1169"/>
      <c r="Q57" s="1182"/>
      <c r="R57" s="1248"/>
      <c r="S57" s="1218">
        <v>101925</v>
      </c>
      <c r="T57" s="704">
        <f t="shared" si="54"/>
        <v>101925</v>
      </c>
      <c r="U57" s="2072"/>
      <c r="V57" s="1271">
        <v>107720</v>
      </c>
      <c r="W57" s="704">
        <f t="shared" si="55"/>
        <v>107720</v>
      </c>
      <c r="X57" s="990">
        <f t="shared" si="53"/>
        <v>105.68555310277165</v>
      </c>
      <c r="Y57" s="1002">
        <f>Y8+Y14+Y21+Y27+Y35+Y42+Y49</f>
        <v>538602</v>
      </c>
      <c r="Z57" s="1002">
        <f>Z8+Z14+Z21+Z27+Z35+Z42+Z49</f>
        <v>107720.4</v>
      </c>
      <c r="AA57">
        <f>Z57-(Z57*80%)</f>
        <v>21544.079999999987</v>
      </c>
    </row>
    <row r="58" spans="1:27" ht="25.15" customHeight="1">
      <c r="A58" s="1173"/>
      <c r="B58" s="1172">
        <v>722433</v>
      </c>
      <c r="C58" s="1165" t="s">
        <v>100</v>
      </c>
      <c r="D58" s="1184"/>
      <c r="E58" s="1169">
        <v>131417.78</v>
      </c>
      <c r="F58" s="1169"/>
      <c r="G58" s="1182"/>
      <c r="H58" s="1168">
        <f>D58+E58+G58+F58</f>
        <v>131417.78</v>
      </c>
      <c r="I58" s="1184"/>
      <c r="J58" s="1169">
        <v>131616.29999999999</v>
      </c>
      <c r="K58" s="1169"/>
      <c r="L58" s="1182"/>
      <c r="M58" s="1168">
        <f>I58+J58+L58+K58</f>
        <v>131616.29999999999</v>
      </c>
      <c r="N58" s="1184"/>
      <c r="O58" s="1169">
        <v>132179.84</v>
      </c>
      <c r="P58" s="1169"/>
      <c r="Q58" s="1182"/>
      <c r="R58" s="1248"/>
      <c r="S58" s="1218">
        <v>377250</v>
      </c>
      <c r="T58" s="704">
        <f t="shared" si="54"/>
        <v>377250</v>
      </c>
      <c r="U58" s="2072"/>
      <c r="V58" s="1271">
        <v>224156</v>
      </c>
      <c r="W58" s="704">
        <f t="shared" si="55"/>
        <v>224156</v>
      </c>
      <c r="X58" s="990">
        <f t="shared" si="53"/>
        <v>59.418422796554005</v>
      </c>
      <c r="Y58" s="1002">
        <f t="shared" ref="Y58:Z60" si="56">Y9+Y15+Y22+Y28+Y36+Y43+Y50</f>
        <v>1120782</v>
      </c>
      <c r="Z58" s="1002">
        <f t="shared" si="56"/>
        <v>224156.4</v>
      </c>
      <c r="AA58">
        <f t="shared" ref="AA58:AA61" si="57">Z58-(Z58*80%)</f>
        <v>44831.28</v>
      </c>
    </row>
    <row r="59" spans="1:27" ht="25.15" customHeight="1">
      <c r="A59" s="1173"/>
      <c r="B59" s="1172">
        <v>722434</v>
      </c>
      <c r="C59" s="1165" t="s">
        <v>101</v>
      </c>
      <c r="D59" s="1184"/>
      <c r="E59" s="1169">
        <v>2197.37</v>
      </c>
      <c r="F59" s="1169"/>
      <c r="G59" s="1182"/>
      <c r="H59" s="1168">
        <f>D59+E59+G59+F59</f>
        <v>2197.37</v>
      </c>
      <c r="I59" s="1184"/>
      <c r="J59" s="1169">
        <v>2511.2800000000002</v>
      </c>
      <c r="K59" s="1169"/>
      <c r="L59" s="1182"/>
      <c r="M59" s="1168">
        <f>I59+J59+L59+K59</f>
        <v>2511.2800000000002</v>
      </c>
      <c r="N59" s="1184"/>
      <c r="O59" s="1169">
        <v>2825</v>
      </c>
      <c r="P59" s="1169"/>
      <c r="Q59" s="1182"/>
      <c r="R59" s="1248"/>
      <c r="S59" s="1218">
        <v>14750</v>
      </c>
      <c r="T59" s="704">
        <f t="shared" si="54"/>
        <v>14750</v>
      </c>
      <c r="U59" s="2072"/>
      <c r="V59" s="1271">
        <v>34076</v>
      </c>
      <c r="W59" s="704">
        <f t="shared" si="55"/>
        <v>34076</v>
      </c>
      <c r="X59" s="990">
        <f t="shared" si="53"/>
        <v>231.0237288135593</v>
      </c>
      <c r="Y59" s="1002">
        <f t="shared" si="56"/>
        <v>170382</v>
      </c>
      <c r="Z59" s="1002">
        <f t="shared" si="56"/>
        <v>34076.400000000001</v>
      </c>
      <c r="AA59">
        <f t="shared" si="57"/>
        <v>6815.2799999999988</v>
      </c>
    </row>
    <row r="60" spans="1:27" ht="25.15" customHeight="1" thickBot="1">
      <c r="A60" s="1185"/>
      <c r="B60" s="1186">
        <v>722435</v>
      </c>
      <c r="C60" s="686" t="s">
        <v>115</v>
      </c>
      <c r="D60" s="1188"/>
      <c r="E60" s="1189">
        <v>258576</v>
      </c>
      <c r="F60" s="1189"/>
      <c r="G60" s="1187"/>
      <c r="H60" s="687">
        <f>D60+E60+G60+F60</f>
        <v>258576</v>
      </c>
      <c r="I60" s="1188"/>
      <c r="J60" s="1189">
        <v>262537.96000000002</v>
      </c>
      <c r="K60" s="1189"/>
      <c r="L60" s="1187"/>
      <c r="M60" s="687">
        <f>I60+J60+L60+K60</f>
        <v>262537.96000000002</v>
      </c>
      <c r="N60" s="1188"/>
      <c r="O60" s="1189">
        <v>269652.83</v>
      </c>
      <c r="P60" s="1189"/>
      <c r="Q60" s="1187"/>
      <c r="R60" s="1253"/>
      <c r="S60" s="1254">
        <v>750000</v>
      </c>
      <c r="T60" s="1190">
        <f t="shared" si="54"/>
        <v>750000</v>
      </c>
      <c r="U60" s="3000"/>
      <c r="V60" s="3001">
        <v>415200</v>
      </c>
      <c r="W60" s="1190">
        <f t="shared" si="55"/>
        <v>415200</v>
      </c>
      <c r="X60" s="990">
        <f t="shared" si="53"/>
        <v>55.36</v>
      </c>
      <c r="Y60" s="1002">
        <f t="shared" si="56"/>
        <v>2076000</v>
      </c>
      <c r="Z60" s="1002">
        <f t="shared" si="56"/>
        <v>415200</v>
      </c>
      <c r="AA60">
        <f t="shared" si="57"/>
        <v>83040</v>
      </c>
    </row>
    <row r="61" spans="1:27" ht="16.5" thickTop="1">
      <c r="Z61" s="209">
        <f>SUM(Z57:Z60)</f>
        <v>781153.2</v>
      </c>
      <c r="AA61">
        <f t="shared" si="57"/>
        <v>156230.64000000001</v>
      </c>
    </row>
  </sheetData>
  <mergeCells count="6">
    <mergeCell ref="X2:X4"/>
    <mergeCell ref="B2:B3"/>
    <mergeCell ref="C2:C3"/>
    <mergeCell ref="A1:X1"/>
    <mergeCell ref="R2:T2"/>
    <mergeCell ref="U2:W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&amp;LRebalans Budžeta Grada Mostara za 2021.g.- GP Prihodi&amp;C&amp;P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AQ1688"/>
  <sheetViews>
    <sheetView view="pageBreakPreview" topLeftCell="F37" zoomScale="82" zoomScaleSheetLayoutView="82" workbookViewId="0">
      <selection activeCell="L4" sqref="L4"/>
    </sheetView>
  </sheetViews>
  <sheetFormatPr defaultRowHeight="19.5"/>
  <cols>
    <col min="1" max="3" width="0" hidden="1" customWidth="1"/>
    <col min="4" max="5" width="9.28515625" hidden="1" customWidth="1"/>
    <col min="6" max="6" width="10.7109375" style="275" customWidth="1"/>
    <col min="7" max="7" width="51.28515625" style="275" customWidth="1"/>
    <col min="8" max="11" width="16.7109375" style="275" customWidth="1"/>
    <col min="12" max="15" width="16.7109375" style="1094" customWidth="1"/>
    <col min="16" max="16" width="8" style="2604" customWidth="1"/>
    <col min="17" max="17" width="12.7109375" style="995" customWidth="1"/>
    <col min="18" max="18" width="14.5703125" style="2209" customWidth="1"/>
    <col min="19" max="19" width="14.5703125" style="995" customWidth="1"/>
    <col min="20" max="20" width="16.28515625" customWidth="1"/>
    <col min="21" max="21" width="15.42578125" customWidth="1"/>
    <col min="22" max="23" width="10.85546875" customWidth="1"/>
    <col min="24" max="29" width="17.140625" customWidth="1"/>
    <col min="30" max="30" width="14.42578125" customWidth="1"/>
    <col min="31" max="32" width="14.28515625" customWidth="1"/>
    <col min="33" max="41" width="9.28515625" customWidth="1"/>
    <col min="42" max="42" width="10.140625" bestFit="1" customWidth="1"/>
  </cols>
  <sheetData>
    <row r="1" spans="1:43">
      <c r="F1" s="3316" t="s">
        <v>1552</v>
      </c>
      <c r="G1" s="3316"/>
      <c r="H1" s="3316"/>
      <c r="I1" s="3316"/>
      <c r="J1" s="3316"/>
      <c r="K1" s="3316"/>
      <c r="L1" s="3316"/>
      <c r="M1" s="3316"/>
      <c r="N1" s="3316"/>
      <c r="O1" s="3316"/>
      <c r="P1" s="3316"/>
      <c r="Q1" s="2401"/>
      <c r="R1" s="2201"/>
      <c r="S1" s="2105"/>
      <c r="T1" s="1101"/>
      <c r="U1" s="994"/>
    </row>
    <row r="2" spans="1:43" ht="20.25" thickBot="1">
      <c r="A2" s="7"/>
      <c r="B2" s="7"/>
      <c r="C2" s="7"/>
      <c r="D2" s="7"/>
      <c r="E2" s="7"/>
      <c r="F2" s="3355" t="s">
        <v>652</v>
      </c>
      <c r="G2" s="3355"/>
      <c r="H2" s="2763"/>
      <c r="I2" s="2763"/>
      <c r="J2" s="2763"/>
      <c r="K2" s="2763"/>
      <c r="L2" s="2764"/>
      <c r="M2" s="2764"/>
      <c r="N2" s="2764"/>
      <c r="O2" s="2764"/>
      <c r="P2" s="2764"/>
      <c r="Q2" s="1737"/>
      <c r="R2" s="2202"/>
      <c r="S2" s="173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3" ht="24" customHeight="1" thickTop="1">
      <c r="A3" s="9"/>
      <c r="B3" s="9"/>
      <c r="C3" s="9"/>
      <c r="D3" s="9"/>
      <c r="E3" s="278"/>
      <c r="F3" s="3358" t="s">
        <v>202</v>
      </c>
      <c r="G3" s="3356" t="s">
        <v>1</v>
      </c>
      <c r="H3" s="3322" t="s">
        <v>1271</v>
      </c>
      <c r="I3" s="3323"/>
      <c r="J3" s="3323"/>
      <c r="K3" s="3352"/>
      <c r="L3" s="3360" t="s">
        <v>1652</v>
      </c>
      <c r="M3" s="3361"/>
      <c r="N3" s="3361"/>
      <c r="O3" s="3362"/>
      <c r="P3" s="3353" t="s">
        <v>49</v>
      </c>
      <c r="Q3" s="999"/>
      <c r="R3" s="2203"/>
      <c r="S3" s="999"/>
      <c r="T3" s="960"/>
      <c r="U3" s="960"/>
      <c r="V3" s="960"/>
      <c r="W3" s="960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</row>
    <row r="4" spans="1:43" ht="105.6" customHeight="1">
      <c r="A4" s="9"/>
      <c r="B4" s="9"/>
      <c r="C4" s="9"/>
      <c r="D4" s="9"/>
      <c r="E4" s="278"/>
      <c r="F4" s="3359"/>
      <c r="G4" s="3357"/>
      <c r="H4" s="2609" t="s">
        <v>50</v>
      </c>
      <c r="I4" s="2606" t="s">
        <v>162</v>
      </c>
      <c r="J4" s="2607" t="s">
        <v>52</v>
      </c>
      <c r="K4" s="2765" t="s">
        <v>606</v>
      </c>
      <c r="L4" s="2766" t="s">
        <v>50</v>
      </c>
      <c r="M4" s="2767" t="s">
        <v>162</v>
      </c>
      <c r="N4" s="2768" t="s">
        <v>52</v>
      </c>
      <c r="O4" s="2769" t="s">
        <v>606</v>
      </c>
      <c r="P4" s="3354"/>
      <c r="Q4" s="999"/>
      <c r="R4" s="2203"/>
      <c r="S4" s="999"/>
      <c r="T4" s="960"/>
      <c r="U4" s="960"/>
      <c r="V4" s="960"/>
      <c r="W4" s="960"/>
      <c r="X4" s="269"/>
      <c r="Y4" s="269"/>
      <c r="Z4" s="269"/>
      <c r="AA4" s="269"/>
      <c r="AB4" s="269"/>
      <c r="AC4" s="269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</row>
    <row r="5" spans="1:43" s="277" customFormat="1">
      <c r="A5" s="279"/>
      <c r="B5" s="279"/>
      <c r="C5" s="279"/>
      <c r="D5" s="279"/>
      <c r="E5" s="280"/>
      <c r="F5" s="2770"/>
      <c r="G5" s="2771"/>
      <c r="H5" s="2618">
        <v>1</v>
      </c>
      <c r="I5" s="2616">
        <v>2</v>
      </c>
      <c r="J5" s="2617">
        <v>3</v>
      </c>
      <c r="K5" s="2772" t="s">
        <v>653</v>
      </c>
      <c r="L5" s="2773">
        <v>5</v>
      </c>
      <c r="M5" s="2774">
        <v>6</v>
      </c>
      <c r="N5" s="2775">
        <v>7</v>
      </c>
      <c r="O5" s="2776" t="s">
        <v>54</v>
      </c>
      <c r="P5" s="2777"/>
      <c r="Q5" s="2194"/>
      <c r="R5" s="2204"/>
      <c r="S5" s="2194"/>
      <c r="T5" s="460"/>
      <c r="U5" s="460"/>
      <c r="V5" s="460"/>
      <c r="W5" s="961" t="e">
        <f t="shared" ref="W5:W46" si="0">H5+I5+J5-K5</f>
        <v>#VALUE!</v>
      </c>
      <c r="X5" s="269"/>
      <c r="Y5" s="269"/>
      <c r="Z5" s="269"/>
      <c r="AA5" s="269"/>
      <c r="AB5" s="269"/>
      <c r="AC5" s="269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</row>
    <row r="6" spans="1:43">
      <c r="A6" s="9"/>
      <c r="B6" s="9"/>
      <c r="C6" s="9"/>
      <c r="D6" s="9"/>
      <c r="E6" s="278"/>
      <c r="F6" s="2778"/>
      <c r="G6" s="2779" t="s">
        <v>161</v>
      </c>
      <c r="H6" s="2780">
        <f>SUM(H7+H10+H12+H27+H36+H37+H38+H39)</f>
        <v>49680810</v>
      </c>
      <c r="I6" s="2781">
        <f>SUM(I7+I10+I12+I27+I36+I37+I38+I39+I35)</f>
        <v>7832502</v>
      </c>
      <c r="J6" s="2782">
        <f>SUM(J7+J10+J12+J27+J36+J37+J38+J39+J35)</f>
        <v>2207595</v>
      </c>
      <c r="K6" s="2783">
        <f>SUM(K7,K10,K12,K27,K36:K39)</f>
        <v>59720907</v>
      </c>
      <c r="L6" s="2784">
        <f>SUM(L7+L10+L12+L27+L36+L37+L38+L39)</f>
        <v>44428110</v>
      </c>
      <c r="M6" s="2785">
        <f>SUM(M7+M10+M12+M27+M36+M37+M38+M39+M35)</f>
        <v>4198300</v>
      </c>
      <c r="N6" s="2786">
        <f>SUM(N7+N10+N12+N27+N36+N37+N38+N39+N35)</f>
        <v>934451</v>
      </c>
      <c r="O6" s="2787">
        <f>SUM(O7,O10,O12,O27,O36:O39)</f>
        <v>49560861</v>
      </c>
      <c r="P6" s="2788">
        <f>O6/K6*100</f>
        <v>82.987455297689976</v>
      </c>
      <c r="Q6" s="2195"/>
      <c r="R6" s="2205">
        <f>'[1]PRIH REBALANS'!$AK$252+'[1]PRIH REBALANS'!$AK$255+'[1]PRIH REBALANS'!$AK$257+'[1]PRIH REBALANS'!$AK$272+'[1]PRIH REBALANS'!$AK$283+'[1]PRIH REBALANS'!$AK$285+'[1]PRIH REBALANS'!$AK$286</f>
        <v>49560861</v>
      </c>
      <c r="S6" s="2195">
        <f>R6-O6</f>
        <v>0</v>
      </c>
      <c r="T6" s="961">
        <f>SUM(T7,T10,T12,T28,K36:K41)</f>
        <v>46098520</v>
      </c>
      <c r="U6" s="961">
        <f>K7+K10+K12+K27+K36+K37+K38+K39</f>
        <v>59720907</v>
      </c>
      <c r="V6" s="961">
        <f>'[3]PRIH REBALANS'!$AK$272+'[3]PRIH REBALANS'!$AK$275+'[3]PRIH REBALANS'!$AK$277+'[3]PRIH REBALANS'!$AK$292+'[3]PRIH REBALANS'!$AK$302+'[3]PRIH REBALANS'!$AK$303+'[3]PRIH REBALANS'!$AK$305+'[3]PRIH REBALANS'!$AK$306</f>
        <v>59870907</v>
      </c>
      <c r="W6" s="961">
        <f t="shared" si="0"/>
        <v>0</v>
      </c>
      <c r="X6" s="269">
        <f>'[2]PRIH REBALANS'!$AK$272+'[2]PRIH REBALANS'!$AK$275</f>
        <v>16069487</v>
      </c>
      <c r="Y6" s="269">
        <f>'[2]PRIH REBALANS'!$AK$307</f>
        <v>59609907</v>
      </c>
      <c r="Z6" s="269">
        <f>Y6-K6</f>
        <v>-111000</v>
      </c>
      <c r="AA6" s="269"/>
      <c r="AB6" s="269"/>
      <c r="AC6" s="269"/>
      <c r="AD6" s="268">
        <f>'[2]PRIH REBALANS'!$AK$307</f>
        <v>59609907</v>
      </c>
      <c r="AE6" s="268">
        <f>AD6-K6</f>
        <v>-111000</v>
      </c>
      <c r="AF6" s="268"/>
      <c r="AG6" s="268"/>
      <c r="AH6" s="268"/>
      <c r="AI6" s="268"/>
      <c r="AJ6" s="268"/>
      <c r="AK6" s="268"/>
      <c r="AL6" s="268"/>
      <c r="AM6" s="268"/>
      <c r="AN6" s="268"/>
      <c r="AO6" s="268"/>
    </row>
    <row r="7" spans="1:43" ht="29.25" customHeight="1">
      <c r="A7" s="7"/>
      <c r="B7" s="7"/>
      <c r="C7" s="7"/>
      <c r="D7" s="9"/>
      <c r="E7" s="278"/>
      <c r="F7" s="2789"/>
      <c r="G7" s="2790" t="s">
        <v>165</v>
      </c>
      <c r="H7" s="2791">
        <f>SUM(H8:H9)</f>
        <v>14610697</v>
      </c>
      <c r="I7" s="2792">
        <f t="shared" ref="I7" si="1">SUM(I8:I9)</f>
        <v>0</v>
      </c>
      <c r="J7" s="2793">
        <f>SUM(J8:J9)</f>
        <v>39090</v>
      </c>
      <c r="K7" s="2794">
        <f>SUM(K8:K9)</f>
        <v>14649787</v>
      </c>
      <c r="L7" s="2795">
        <f>SUM(L8:L9)</f>
        <v>14684170</v>
      </c>
      <c r="M7" s="2796">
        <f t="shared" ref="M7" si="2">SUM(M8:M9)</f>
        <v>0</v>
      </c>
      <c r="N7" s="2797">
        <f>SUM(N8:N9)</f>
        <v>0</v>
      </c>
      <c r="O7" s="2798">
        <f>SUM(O8:O9)</f>
        <v>14684170</v>
      </c>
      <c r="P7" s="2799">
        <f>O7/K7*100</f>
        <v>100.23469965809059</v>
      </c>
      <c r="Q7" s="2196"/>
      <c r="R7" s="2206">
        <f>'[9]PRIH REBALANS'!$AK$252</f>
        <v>14684170</v>
      </c>
      <c r="S7" s="2196"/>
      <c r="T7" s="962">
        <f>O7-K7</f>
        <v>34383</v>
      </c>
      <c r="U7" s="961">
        <f t="shared" ref="U7:U48" si="3">H7+I7+J7-K7</f>
        <v>0</v>
      </c>
      <c r="V7" s="962">
        <f>'[3]PRIH REBALANS'!$AK$273+'[3]PRIH REBALANS'!$AK$274</f>
        <v>14649787</v>
      </c>
      <c r="W7" s="961">
        <f t="shared" si="0"/>
        <v>0</v>
      </c>
      <c r="X7" s="269">
        <f>'[2]PRIH REBALANS'!$AK$272</f>
        <v>14649787</v>
      </c>
      <c r="Y7" s="269">
        <f>'[2]PRIH REBALANS'!$AK$272</f>
        <v>14649787</v>
      </c>
      <c r="Z7" s="269">
        <f t="shared" ref="Z7:Z48" si="4">Y7-K7</f>
        <v>0</v>
      </c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09">
        <f>'[4]BUDŽET 2021'!$R$253</f>
        <v>100.65579741437263</v>
      </c>
      <c r="AQ7" s="209" t="e">
        <f>AP7-#REF!</f>
        <v>#REF!</v>
      </c>
    </row>
    <row r="8" spans="1:43" ht="24" customHeight="1">
      <c r="A8" s="7"/>
      <c r="B8" s="7"/>
      <c r="C8" s="7"/>
      <c r="D8" s="7"/>
      <c r="E8" s="282"/>
      <c r="F8" s="2800" t="s">
        <v>166</v>
      </c>
      <c r="G8" s="2801" t="s">
        <v>167</v>
      </c>
      <c r="H8" s="2802">
        <v>12765500</v>
      </c>
      <c r="I8" s="2803"/>
      <c r="J8" s="2804">
        <v>39090</v>
      </c>
      <c r="K8" s="2805">
        <f>SUM(H8:J8)</f>
        <v>12804590</v>
      </c>
      <c r="L8" s="2806">
        <v>12831250</v>
      </c>
      <c r="M8" s="2807"/>
      <c r="N8" s="2808"/>
      <c r="O8" s="2809">
        <f>SUM(L8:N8)</f>
        <v>12831250</v>
      </c>
      <c r="P8" s="2810">
        <f t="shared" ref="P8:P47" si="5">O8/K8*100</f>
        <v>100.20820658841869</v>
      </c>
      <c r="Q8" s="2197">
        <f>'[1]PRIH REBALANS'!$AK$253+'[1]PRIH REBALANS'!$AK$254</f>
        <v>14684170</v>
      </c>
      <c r="R8" s="2207"/>
      <c r="S8" s="2197"/>
      <c r="T8" s="962">
        <f t="shared" ref="T8:T11" si="6">O8-K8</f>
        <v>26660</v>
      </c>
      <c r="U8" s="961">
        <f t="shared" si="3"/>
        <v>0</v>
      </c>
      <c r="V8" s="962"/>
      <c r="W8" s="961">
        <f t="shared" si="0"/>
        <v>0</v>
      </c>
      <c r="X8" s="269">
        <f>'[2]PRIH REBALANS'!$AK$273</f>
        <v>12804590</v>
      </c>
      <c r="Y8" s="269"/>
      <c r="Z8" s="269">
        <f t="shared" si="4"/>
        <v>-12804590</v>
      </c>
      <c r="AA8" s="269"/>
      <c r="AB8" s="269"/>
      <c r="AC8" s="269"/>
      <c r="AD8" s="269">
        <f>'[2]PRIH REBALANS'!$AG$273</f>
        <v>12765500</v>
      </c>
      <c r="AE8" s="269"/>
      <c r="AF8" s="269">
        <f>'[2]PRIH REBALANS'!$AJ$273</f>
        <v>39090</v>
      </c>
      <c r="AG8" s="269"/>
      <c r="AH8" s="269"/>
      <c r="AI8" s="269"/>
      <c r="AJ8" s="269"/>
      <c r="AK8" s="269"/>
      <c r="AL8" s="269"/>
      <c r="AM8" s="269"/>
      <c r="AN8" s="269"/>
      <c r="AO8" s="269"/>
      <c r="AQ8" s="209" t="e">
        <f>AP8-#REF!</f>
        <v>#REF!</v>
      </c>
    </row>
    <row r="9" spans="1:43" ht="24" customHeight="1">
      <c r="A9" s="7"/>
      <c r="B9" s="7"/>
      <c r="C9" s="7"/>
      <c r="D9" s="7"/>
      <c r="E9" s="282"/>
      <c r="F9" s="2811">
        <v>611200</v>
      </c>
      <c r="G9" s="2812" t="s">
        <v>168</v>
      </c>
      <c r="H9" s="2802">
        <v>1845197</v>
      </c>
      <c r="I9" s="2803"/>
      <c r="J9" s="2804"/>
      <c r="K9" s="2805">
        <f>SUM(H9:J9)</f>
        <v>1845197</v>
      </c>
      <c r="L9" s="2806">
        <v>1852920</v>
      </c>
      <c r="M9" s="2807"/>
      <c r="N9" s="2808"/>
      <c r="O9" s="2809">
        <f>SUM(L9:N9)</f>
        <v>1852920</v>
      </c>
      <c r="P9" s="2810">
        <f t="shared" si="5"/>
        <v>100.41854609562013</v>
      </c>
      <c r="Q9" s="2197"/>
      <c r="R9" s="2207"/>
      <c r="S9" s="2197"/>
      <c r="T9" s="962">
        <f t="shared" si="6"/>
        <v>7723</v>
      </c>
      <c r="U9" s="961">
        <f t="shared" si="3"/>
        <v>0</v>
      </c>
      <c r="V9" s="962"/>
      <c r="W9" s="961">
        <f t="shared" si="0"/>
        <v>0</v>
      </c>
      <c r="X9" s="269">
        <f t="shared" ref="X9:X40" si="7">H9+I9+J9-K9</f>
        <v>0</v>
      </c>
      <c r="Y9" s="269"/>
      <c r="Z9" s="269">
        <f t="shared" si="4"/>
        <v>-1845197</v>
      </c>
      <c r="AA9" s="269"/>
      <c r="AB9" s="269"/>
      <c r="AC9" s="269"/>
      <c r="AD9" s="269">
        <f>'[2]PRIH REBALANS'!$AG$274</f>
        <v>1845197</v>
      </c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09">
        <f>'[4]BUDŽET 2021'!$R$255</f>
        <v>102.92794663944835</v>
      </c>
      <c r="AQ9" s="209" t="e">
        <f>AP9-#REF!</f>
        <v>#REF!</v>
      </c>
    </row>
    <row r="10" spans="1:43" ht="21" customHeight="1">
      <c r="A10" s="18"/>
      <c r="B10" s="18"/>
      <c r="C10" s="18"/>
      <c r="D10" s="18"/>
      <c r="E10" s="283"/>
      <c r="F10" s="2813"/>
      <c r="G10" s="2814" t="s">
        <v>216</v>
      </c>
      <c r="H10" s="2791">
        <f>SUM(H11)</f>
        <v>1419700</v>
      </c>
      <c r="I10" s="2792">
        <f t="shared" ref="I10:J10" si="8">SUM(I11)</f>
        <v>0</v>
      </c>
      <c r="J10" s="2793">
        <f t="shared" si="8"/>
        <v>0</v>
      </c>
      <c r="K10" s="2794">
        <f>SUM(K11)</f>
        <v>1419700</v>
      </c>
      <c r="L10" s="2795">
        <f>SUM(L11)</f>
        <v>1435750</v>
      </c>
      <c r="M10" s="2796">
        <f t="shared" ref="M10:N10" si="9">SUM(M11)</f>
        <v>0</v>
      </c>
      <c r="N10" s="2797">
        <f t="shared" si="9"/>
        <v>0</v>
      </c>
      <c r="O10" s="2798">
        <f>SUM(O11)</f>
        <v>1435750</v>
      </c>
      <c r="P10" s="2810">
        <f t="shared" si="5"/>
        <v>101.13052053250686</v>
      </c>
      <c r="Q10" s="2197">
        <f>'[1]PRIH REBALANS'!$AK$255</f>
        <v>1435750</v>
      </c>
      <c r="R10" s="2207">
        <f>'[9]PRIH REBALANS'!$AK$255</f>
        <v>1435750</v>
      </c>
      <c r="S10" s="2197"/>
      <c r="T10" s="962">
        <f t="shared" si="6"/>
        <v>16050</v>
      </c>
      <c r="U10" s="961">
        <f t="shared" si="3"/>
        <v>0</v>
      </c>
      <c r="V10" s="962">
        <f>'[3]PRIH REBALANS'!$AK$275</f>
        <v>1419700</v>
      </c>
      <c r="W10" s="961">
        <f t="shared" si="0"/>
        <v>0</v>
      </c>
      <c r="X10" s="269">
        <f t="shared" si="7"/>
        <v>0</v>
      </c>
      <c r="Y10" s="269">
        <f>'[2]PRIH REBALANS'!$AK$275</f>
        <v>1419700</v>
      </c>
      <c r="Z10" s="269">
        <f t="shared" si="4"/>
        <v>0</v>
      </c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Q10" s="209" t="e">
        <f>AP10-#REF!</f>
        <v>#REF!</v>
      </c>
    </row>
    <row r="11" spans="1:43" ht="28.5" customHeight="1">
      <c r="A11" s="7"/>
      <c r="B11" s="7"/>
      <c r="C11" s="7"/>
      <c r="D11" s="7"/>
      <c r="E11" s="282"/>
      <c r="F11" s="2811">
        <v>612100</v>
      </c>
      <c r="G11" s="2812" t="s">
        <v>216</v>
      </c>
      <c r="H11" s="2802">
        <v>1419700</v>
      </c>
      <c r="I11" s="2815"/>
      <c r="J11" s="2816"/>
      <c r="K11" s="2817">
        <f>SUM(H11:J11)</f>
        <v>1419700</v>
      </c>
      <c r="L11" s="2806">
        <v>1435750</v>
      </c>
      <c r="M11" s="2807"/>
      <c r="N11" s="2808"/>
      <c r="O11" s="2818">
        <f>SUM(L11:N11)</f>
        <v>1435750</v>
      </c>
      <c r="P11" s="2810">
        <f t="shared" si="5"/>
        <v>101.13052053250686</v>
      </c>
      <c r="Q11" s="2197"/>
      <c r="R11" s="2207"/>
      <c r="S11" s="2197"/>
      <c r="T11" s="962">
        <f t="shared" si="6"/>
        <v>16050</v>
      </c>
      <c r="U11" s="961">
        <f t="shared" si="3"/>
        <v>0</v>
      </c>
      <c r="V11" s="962"/>
      <c r="W11" s="961">
        <f t="shared" si="0"/>
        <v>0</v>
      </c>
      <c r="X11" s="269">
        <f t="shared" si="7"/>
        <v>0</v>
      </c>
      <c r="Y11" s="269"/>
      <c r="Z11" s="269">
        <f t="shared" si="4"/>
        <v>-1419700</v>
      </c>
      <c r="AA11" s="269"/>
      <c r="AB11" s="269"/>
      <c r="AC11" s="269"/>
      <c r="AD11" s="269">
        <f>'[2]PRIH REBALANS'!$AG$276</f>
        <v>1419700</v>
      </c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Q11" s="209" t="e">
        <f>AP11-#REF!</f>
        <v>#REF!</v>
      </c>
    </row>
    <row r="12" spans="1:43" ht="24.75" customHeight="1">
      <c r="A12" s="7"/>
      <c r="B12" s="7"/>
      <c r="C12" s="7"/>
      <c r="D12" s="7"/>
      <c r="E12" s="282"/>
      <c r="F12" s="2811"/>
      <c r="G12" s="2814" t="s">
        <v>169</v>
      </c>
      <c r="H12" s="2819">
        <f t="shared" ref="H12:J12" si="10">SUM(H13:H26)</f>
        <v>18368160</v>
      </c>
      <c r="I12" s="2820">
        <f>SUM(I13:I26)</f>
        <v>6085744</v>
      </c>
      <c r="J12" s="2821">
        <f t="shared" si="10"/>
        <v>39560</v>
      </c>
      <c r="K12" s="2822">
        <f>SUM(K13:K26)</f>
        <v>24493464</v>
      </c>
      <c r="L12" s="2823">
        <f t="shared" ref="L12" si="11">SUM(L13:L26)</f>
        <v>13918910</v>
      </c>
      <c r="M12" s="2824">
        <f>SUM(M13:M26)</f>
        <v>3703300</v>
      </c>
      <c r="N12" s="2825">
        <f t="shared" ref="N12" si="12">SUM(N13:N26)</f>
        <v>384451</v>
      </c>
      <c r="O12" s="2826">
        <f>SUM(O13:O26)</f>
        <v>18006661</v>
      </c>
      <c r="P12" s="2799">
        <f t="shared" si="5"/>
        <v>73.516187828720348</v>
      </c>
      <c r="Q12" s="2196">
        <f>'[1]PRIH REBALANS'!$AK$257</f>
        <v>18006661</v>
      </c>
      <c r="R12" s="2206">
        <f>'[9]PRIH REBALANS'!$AK$257</f>
        <v>18006661</v>
      </c>
      <c r="S12" s="2196"/>
      <c r="T12" s="962">
        <f>SUM(K13:K26)</f>
        <v>24493464</v>
      </c>
      <c r="U12" s="961">
        <f>'[3]PRIH REBALANS'!$AK$277</f>
        <v>24493464</v>
      </c>
      <c r="V12" s="962">
        <f>'[3]PRIH REBALANS'!$AK$277</f>
        <v>24493464</v>
      </c>
      <c r="W12" s="961">
        <f t="shared" si="0"/>
        <v>0</v>
      </c>
      <c r="X12" s="269">
        <f>'[2]PRIH REBALANS'!$AK$277</f>
        <v>24493464</v>
      </c>
      <c r="Y12" s="269">
        <f>'[2]PRIH REBALANS'!$AK$277</f>
        <v>24493464</v>
      </c>
      <c r="Z12" s="269">
        <f t="shared" si="4"/>
        <v>0</v>
      </c>
      <c r="AA12" s="269"/>
      <c r="AB12" s="269"/>
      <c r="AC12" s="269"/>
      <c r="AD12" s="269">
        <f>'[2]PRIH REBALANS'!$AK$277</f>
        <v>24493464</v>
      </c>
      <c r="AE12" s="269">
        <f>AD12-K12</f>
        <v>0</v>
      </c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09">
        <f>'[4]BUDŽET 2021'!$R$258</f>
        <v>98.205262030743256</v>
      </c>
      <c r="AQ12" s="209" t="e">
        <f>AP12-#REF!</f>
        <v>#REF!</v>
      </c>
    </row>
    <row r="13" spans="1:43" ht="27.75" customHeight="1">
      <c r="A13" s="7"/>
      <c r="B13" s="7"/>
      <c r="C13" s="7"/>
      <c r="D13" s="7"/>
      <c r="E13" s="282"/>
      <c r="F13" s="2811">
        <v>613100</v>
      </c>
      <c r="G13" s="2812" t="s">
        <v>170</v>
      </c>
      <c r="H13" s="2802">
        <f>SUM('[10]Rashodi i izdaci-poseban dio'!O20+'[10]Rashodi i izdaci-poseban dio'!O57+'[10]Rashodi i izdaci-poseban dio'!O92+'[10]Rashodi i izdaci-poseban dio'!O115+'[10]Rashodi i izdaci-poseban dio'!O143+'[10]Rashodi i izdaci-poseban dio'!O222+'[10]Rashodi i izdaci-poseban dio'!O261+'[10]Rashodi i izdaci-poseban dio'!O314+'[10]Rashodi i izdaci-poseban dio'!O387+'[10]Rashodi i izdaci-poseban dio'!O446+'[10]Rashodi i izdaci-poseban dio'!O478+'[10]Rashodi i izdaci-poseban dio'!O509)</f>
        <v>41000</v>
      </c>
      <c r="I13" s="2803"/>
      <c r="J13" s="2804"/>
      <c r="K13" s="2817">
        <f>SUM(H13:J13)</f>
        <v>41000</v>
      </c>
      <c r="L13" s="2806">
        <v>53000</v>
      </c>
      <c r="M13" s="2807"/>
      <c r="N13" s="2808"/>
      <c r="O13" s="2818">
        <f>SUM(L13:N13)</f>
        <v>53000</v>
      </c>
      <c r="P13" s="2810">
        <f t="shared" si="5"/>
        <v>129.26829268292684</v>
      </c>
      <c r="Q13" s="2197"/>
      <c r="R13" s="2207"/>
      <c r="S13" s="2197"/>
      <c r="T13" s="962"/>
      <c r="U13" s="961">
        <f t="shared" si="3"/>
        <v>0</v>
      </c>
      <c r="V13" s="962"/>
      <c r="W13" s="961">
        <f t="shared" si="0"/>
        <v>0</v>
      </c>
      <c r="X13" s="269">
        <f t="shared" si="7"/>
        <v>0</v>
      </c>
      <c r="Y13" s="269"/>
      <c r="Z13" s="269">
        <f t="shared" si="4"/>
        <v>-41000</v>
      </c>
      <c r="AA13" s="269"/>
      <c r="AB13" s="269"/>
      <c r="AC13" s="269"/>
      <c r="AD13" s="269">
        <f>'[2]PRIH REBALANS'!$AG$278</f>
        <v>41000</v>
      </c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09">
        <f>'[4]BUDŽET 2021'!$R$259</f>
        <v>110.81081081081081</v>
      </c>
      <c r="AQ13" s="209" t="e">
        <f>AP13-#REF!</f>
        <v>#REF!</v>
      </c>
    </row>
    <row r="14" spans="1:43" ht="27.75" customHeight="1">
      <c r="A14" s="7"/>
      <c r="B14" s="7"/>
      <c r="C14" s="7"/>
      <c r="D14" s="7"/>
      <c r="E14" s="282"/>
      <c r="F14" s="2811">
        <v>613200</v>
      </c>
      <c r="G14" s="2827" t="s">
        <v>171</v>
      </c>
      <c r="H14" s="2802">
        <v>2876500</v>
      </c>
      <c r="I14" s="2803"/>
      <c r="J14" s="2804"/>
      <c r="K14" s="2817">
        <f t="shared" ref="K14:K26" si="13">SUM(H14:J14)</f>
        <v>2876500</v>
      </c>
      <c r="L14" s="2806">
        <v>3041000</v>
      </c>
      <c r="M14" s="2807"/>
      <c r="N14" s="2808"/>
      <c r="O14" s="2818">
        <f t="shared" ref="O14:O26" si="14">SUM(L14:N14)</f>
        <v>3041000</v>
      </c>
      <c r="P14" s="2810">
        <f t="shared" si="5"/>
        <v>105.71875543194855</v>
      </c>
      <c r="Q14" s="2197"/>
      <c r="R14" s="2207"/>
      <c r="S14" s="2197"/>
      <c r="T14" s="962">
        <f>L8/H8*100</f>
        <v>100.51506012298775</v>
      </c>
      <c r="U14" s="961">
        <f t="shared" si="3"/>
        <v>0</v>
      </c>
      <c r="V14" s="962"/>
      <c r="W14" s="961">
        <f t="shared" si="0"/>
        <v>0</v>
      </c>
      <c r="X14" s="269">
        <f>'[2]PRIH REBALANS'!$AG$279</f>
        <v>2876500</v>
      </c>
      <c r="Y14" s="269"/>
      <c r="Z14" s="269">
        <f t="shared" si="4"/>
        <v>-2876500</v>
      </c>
      <c r="AA14" s="269"/>
      <c r="AB14" s="269"/>
      <c r="AC14" s="269"/>
      <c r="AD14" s="269">
        <f>'[2]PRIH REBALANS'!$AG$279</f>
        <v>2876500</v>
      </c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09">
        <f>'[4]BUDŽET 2021'!$R$260</f>
        <v>102.51308900523559</v>
      </c>
      <c r="AQ14" s="209" t="e">
        <f>AP14-#REF!</f>
        <v>#REF!</v>
      </c>
    </row>
    <row r="15" spans="1:43" ht="27.75" customHeight="1">
      <c r="A15" s="7"/>
      <c r="B15" s="7"/>
      <c r="C15" s="7"/>
      <c r="D15" s="7"/>
      <c r="E15" s="282"/>
      <c r="F15" s="2828">
        <v>613300</v>
      </c>
      <c r="G15" s="2827" t="s">
        <v>172</v>
      </c>
      <c r="H15" s="2829">
        <v>4693000</v>
      </c>
      <c r="I15" s="2830">
        <v>395000</v>
      </c>
      <c r="J15" s="2831"/>
      <c r="K15" s="2817">
        <f t="shared" si="13"/>
        <v>5088000</v>
      </c>
      <c r="L15" s="2832">
        <v>4439000</v>
      </c>
      <c r="M15" s="2833">
        <v>105800</v>
      </c>
      <c r="N15" s="2834"/>
      <c r="O15" s="2818">
        <f t="shared" si="14"/>
        <v>4544800</v>
      </c>
      <c r="P15" s="2810">
        <f t="shared" si="5"/>
        <v>89.323899371069189</v>
      </c>
      <c r="Q15" s="2197"/>
      <c r="R15" s="2207"/>
      <c r="S15" s="2197"/>
      <c r="T15" s="962"/>
      <c r="U15" s="961">
        <f t="shared" si="3"/>
        <v>0</v>
      </c>
      <c r="V15" s="962"/>
      <c r="W15" s="961">
        <f t="shared" si="0"/>
        <v>0</v>
      </c>
      <c r="X15" s="269">
        <f t="shared" si="7"/>
        <v>0</v>
      </c>
      <c r="Y15" s="269"/>
      <c r="Z15" s="269">
        <f t="shared" si="4"/>
        <v>-5088000</v>
      </c>
      <c r="AA15" s="269"/>
      <c r="AB15" s="269"/>
      <c r="AC15" s="269"/>
      <c r="AD15" s="269">
        <f>'[2]PRIH REBALANS'!$AG$280</f>
        <v>4693000</v>
      </c>
      <c r="AE15" s="269">
        <f>'[2]PRIH REBALANS'!$AH$280</f>
        <v>395000</v>
      </c>
      <c r="AF15" s="269"/>
      <c r="AG15" s="269">
        <f>'[2]PRIH REBALANS'!$AK$280</f>
        <v>5088000</v>
      </c>
      <c r="AH15" s="269"/>
      <c r="AI15" s="269"/>
      <c r="AJ15" s="269"/>
      <c r="AK15" s="269"/>
      <c r="AL15" s="269"/>
      <c r="AM15" s="269"/>
      <c r="AN15" s="269"/>
      <c r="AO15" s="269"/>
      <c r="AP15" s="209">
        <f>'[4]BUDŽET 2021'!$R$261</f>
        <v>111.02429475102784</v>
      </c>
      <c r="AQ15" s="209" t="e">
        <f>AP15-#REF!</f>
        <v>#REF!</v>
      </c>
    </row>
    <row r="16" spans="1:43" ht="27.75" customHeight="1">
      <c r="A16" s="7"/>
      <c r="B16" s="7"/>
      <c r="C16" s="7"/>
      <c r="D16" s="7"/>
      <c r="E16" s="282"/>
      <c r="F16" s="2828">
        <v>613300</v>
      </c>
      <c r="G16" s="2827" t="s">
        <v>798</v>
      </c>
      <c r="H16" s="2829"/>
      <c r="I16" s="2830">
        <v>500000</v>
      </c>
      <c r="J16" s="2831"/>
      <c r="K16" s="2817">
        <f t="shared" si="13"/>
        <v>500000</v>
      </c>
      <c r="L16" s="2832"/>
      <c r="M16" s="2833"/>
      <c r="N16" s="2834"/>
      <c r="O16" s="2818">
        <f t="shared" si="14"/>
        <v>0</v>
      </c>
      <c r="P16" s="2810">
        <f t="shared" si="5"/>
        <v>0</v>
      </c>
      <c r="Q16" s="2197"/>
      <c r="R16" s="2207"/>
      <c r="S16" s="2197"/>
      <c r="T16" s="962"/>
      <c r="U16" s="961">
        <f t="shared" si="3"/>
        <v>0</v>
      </c>
      <c r="V16" s="962"/>
      <c r="W16" s="961">
        <f t="shared" si="0"/>
        <v>0</v>
      </c>
      <c r="X16" s="269">
        <f t="shared" si="7"/>
        <v>0</v>
      </c>
      <c r="Y16" s="269"/>
      <c r="Z16" s="269">
        <f t="shared" si="4"/>
        <v>-500000</v>
      </c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Q16" s="209" t="e">
        <f>AP16-#REF!</f>
        <v>#REF!</v>
      </c>
    </row>
    <row r="17" spans="1:43" ht="27.75" customHeight="1">
      <c r="A17" s="7"/>
      <c r="B17" s="7"/>
      <c r="C17" s="7"/>
      <c r="D17" s="7"/>
      <c r="E17" s="282"/>
      <c r="F17" s="2828">
        <v>613400</v>
      </c>
      <c r="G17" s="2827" t="s">
        <v>173</v>
      </c>
      <c r="H17" s="2802">
        <v>228500</v>
      </c>
      <c r="I17" s="2803">
        <v>150000</v>
      </c>
      <c r="J17" s="2804"/>
      <c r="K17" s="2817">
        <f t="shared" si="13"/>
        <v>378500</v>
      </c>
      <c r="L17" s="2806">
        <v>277500</v>
      </c>
      <c r="M17" s="2807">
        <v>160000</v>
      </c>
      <c r="N17" s="2808"/>
      <c r="O17" s="2818">
        <f t="shared" si="14"/>
        <v>437500</v>
      </c>
      <c r="P17" s="2810">
        <f t="shared" si="5"/>
        <v>115.58784676354028</v>
      </c>
      <c r="Q17" s="2197"/>
      <c r="R17" s="2207"/>
      <c r="S17" s="2197"/>
      <c r="T17" s="962"/>
      <c r="U17" s="961">
        <f t="shared" si="3"/>
        <v>0</v>
      </c>
      <c r="V17" s="962"/>
      <c r="W17" s="961">
        <f t="shared" si="0"/>
        <v>0</v>
      </c>
      <c r="X17" s="269">
        <f t="shared" si="7"/>
        <v>0</v>
      </c>
      <c r="Y17" s="269"/>
      <c r="Z17" s="269">
        <f t="shared" si="4"/>
        <v>-378500</v>
      </c>
      <c r="AA17" s="269"/>
      <c r="AB17" s="269"/>
      <c r="AC17" s="269"/>
      <c r="AD17" s="269">
        <f>'[2]PRIH REBALANS'!$AG$282</f>
        <v>228500</v>
      </c>
      <c r="AE17" s="269">
        <f>'[2]PRIH REBALANS'!$AH$282</f>
        <v>150000</v>
      </c>
      <c r="AF17" s="269"/>
      <c r="AG17" s="269">
        <f>'[2]PRIH REBALANS'!$AK$282</f>
        <v>378500</v>
      </c>
      <c r="AH17" s="269"/>
      <c r="AI17" s="269"/>
      <c r="AJ17" s="269"/>
      <c r="AK17" s="269"/>
      <c r="AL17" s="269"/>
      <c r="AM17" s="269"/>
      <c r="AN17" s="269"/>
      <c r="AO17" s="269"/>
      <c r="AP17" s="209">
        <f>'[4]BUDŽET 2021'!$R$263</f>
        <v>115.33646322378716</v>
      </c>
      <c r="AQ17" s="209" t="e">
        <f>AP17-#REF!</f>
        <v>#REF!</v>
      </c>
    </row>
    <row r="18" spans="1:43" ht="27.75" customHeight="1">
      <c r="A18" s="7"/>
      <c r="B18" s="7"/>
      <c r="C18" s="7"/>
      <c r="D18" s="7"/>
      <c r="E18" s="282"/>
      <c r="F18" s="2828">
        <v>613400</v>
      </c>
      <c r="G18" s="2827" t="s">
        <v>799</v>
      </c>
      <c r="H18" s="2802"/>
      <c r="I18" s="2803">
        <v>50000</v>
      </c>
      <c r="J18" s="2804"/>
      <c r="K18" s="2817">
        <f t="shared" si="13"/>
        <v>50000</v>
      </c>
      <c r="L18" s="2806"/>
      <c r="M18" s="2807"/>
      <c r="N18" s="2808"/>
      <c r="O18" s="2818">
        <f t="shared" si="14"/>
        <v>0</v>
      </c>
      <c r="P18" s="2810">
        <f t="shared" si="5"/>
        <v>0</v>
      </c>
      <c r="Q18" s="2197"/>
      <c r="R18" s="2207"/>
      <c r="S18" s="2197"/>
      <c r="T18" s="962"/>
      <c r="U18" s="961">
        <f t="shared" si="3"/>
        <v>0</v>
      </c>
      <c r="V18" s="962"/>
      <c r="W18" s="961">
        <f t="shared" si="0"/>
        <v>0</v>
      </c>
      <c r="X18" s="269">
        <f t="shared" si="7"/>
        <v>0</v>
      </c>
      <c r="Y18" s="269"/>
      <c r="Z18" s="269">
        <f t="shared" si="4"/>
        <v>-50000</v>
      </c>
      <c r="AA18" s="269"/>
      <c r="AB18" s="269"/>
      <c r="AC18" s="269"/>
      <c r="AD18" s="269"/>
      <c r="AE18" s="269">
        <f>'[2]PRIH REBALANS'!$AI$283</f>
        <v>50000</v>
      </c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Q18" s="209" t="e">
        <f>AP18-#REF!</f>
        <v>#REF!</v>
      </c>
    </row>
    <row r="19" spans="1:43" ht="33.75" customHeight="1">
      <c r="A19" s="7"/>
      <c r="B19" s="7"/>
      <c r="C19" s="7"/>
      <c r="D19" s="7"/>
      <c r="E19" s="282"/>
      <c r="F19" s="2828">
        <v>613500</v>
      </c>
      <c r="G19" s="2827" t="s">
        <v>174</v>
      </c>
      <c r="H19" s="2802">
        <v>1850210</v>
      </c>
      <c r="I19" s="2803">
        <v>100000</v>
      </c>
      <c r="J19" s="2804"/>
      <c r="K19" s="2817">
        <f t="shared" si="13"/>
        <v>1950210</v>
      </c>
      <c r="L19" s="2806">
        <v>1147710</v>
      </c>
      <c r="M19" s="2807">
        <v>164000</v>
      </c>
      <c r="N19" s="2808"/>
      <c r="O19" s="2818">
        <f t="shared" si="14"/>
        <v>1311710</v>
      </c>
      <c r="P19" s="2810">
        <f t="shared" si="5"/>
        <v>67.259936109444624</v>
      </c>
      <c r="Q19" s="2197"/>
      <c r="R19" s="2207"/>
      <c r="S19" s="2197"/>
      <c r="T19" s="962"/>
      <c r="U19" s="961">
        <f t="shared" si="3"/>
        <v>0</v>
      </c>
      <c r="V19" s="962"/>
      <c r="W19" s="961">
        <f t="shared" si="0"/>
        <v>0</v>
      </c>
      <c r="X19" s="269">
        <f t="shared" si="7"/>
        <v>0</v>
      </c>
      <c r="Y19" s="269"/>
      <c r="Z19" s="269">
        <f t="shared" si="4"/>
        <v>-1950210</v>
      </c>
      <c r="AA19" s="269"/>
      <c r="AB19" s="269"/>
      <c r="AC19" s="269"/>
      <c r="AD19" s="269">
        <f>'[2]PRIH REBALANS'!$AG$284</f>
        <v>1850210</v>
      </c>
      <c r="AE19" s="269">
        <f>'[2]PRIH REBALANS'!$AH$284</f>
        <v>100000</v>
      </c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09">
        <f>'[4]BUDŽET 2021'!$R$265</f>
        <v>99.008888289816923</v>
      </c>
      <c r="AQ19" s="209" t="e">
        <f>AP19-#REF!</f>
        <v>#REF!</v>
      </c>
    </row>
    <row r="20" spans="1:43" ht="33" customHeight="1">
      <c r="A20" s="7"/>
      <c r="B20" s="7"/>
      <c r="C20" s="7"/>
      <c r="D20" s="7"/>
      <c r="E20" s="282"/>
      <c r="F20" s="2828" t="s">
        <v>175</v>
      </c>
      <c r="G20" s="2827" t="s">
        <v>800</v>
      </c>
      <c r="H20" s="2802"/>
      <c r="I20" s="2803">
        <v>50000</v>
      </c>
      <c r="J20" s="2804"/>
      <c r="K20" s="2817">
        <f t="shared" si="13"/>
        <v>50000</v>
      </c>
      <c r="L20" s="2806"/>
      <c r="M20" s="2807"/>
      <c r="N20" s="2808"/>
      <c r="O20" s="2818">
        <f t="shared" si="14"/>
        <v>0</v>
      </c>
      <c r="P20" s="2810">
        <f t="shared" si="5"/>
        <v>0</v>
      </c>
      <c r="Q20" s="2197"/>
      <c r="R20" s="2207"/>
      <c r="S20" s="2197"/>
      <c r="T20" s="962"/>
      <c r="U20" s="961">
        <f t="shared" si="3"/>
        <v>0</v>
      </c>
      <c r="V20" s="962"/>
      <c r="W20" s="961">
        <f t="shared" si="0"/>
        <v>0</v>
      </c>
      <c r="X20" s="269">
        <f t="shared" si="7"/>
        <v>0</v>
      </c>
      <c r="Y20" s="269"/>
      <c r="Z20" s="269">
        <f t="shared" si="4"/>
        <v>-50000</v>
      </c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Q20" s="209" t="e">
        <f>AP20-#REF!</f>
        <v>#REF!</v>
      </c>
    </row>
    <row r="21" spans="1:43" ht="30.75" customHeight="1">
      <c r="A21" s="7"/>
      <c r="B21" s="7"/>
      <c r="C21" s="7"/>
      <c r="D21" s="7"/>
      <c r="E21" s="282"/>
      <c r="F21" s="2828">
        <v>613600</v>
      </c>
      <c r="G21" s="2827" t="s">
        <v>176</v>
      </c>
      <c r="H21" s="2802">
        <v>102000</v>
      </c>
      <c r="I21" s="2803"/>
      <c r="J21" s="2804"/>
      <c r="K21" s="2817">
        <f t="shared" si="13"/>
        <v>102000</v>
      </c>
      <c r="L21" s="2806">
        <v>110000</v>
      </c>
      <c r="M21" s="2807"/>
      <c r="N21" s="2808"/>
      <c r="O21" s="2818">
        <f t="shared" si="14"/>
        <v>110000</v>
      </c>
      <c r="P21" s="2810">
        <f t="shared" si="5"/>
        <v>107.84313725490196</v>
      </c>
      <c r="Q21" s="2197"/>
      <c r="R21" s="2207"/>
      <c r="S21" s="2197"/>
      <c r="T21" s="962"/>
      <c r="U21" s="961">
        <f t="shared" si="3"/>
        <v>0</v>
      </c>
      <c r="V21" s="962"/>
      <c r="W21" s="961">
        <f t="shared" si="0"/>
        <v>0</v>
      </c>
      <c r="X21" s="269">
        <f>'[2]PRIH REBALANS'!$AG$286</f>
        <v>102000</v>
      </c>
      <c r="Y21" s="269"/>
      <c r="Z21" s="269">
        <f t="shared" si="4"/>
        <v>-102000</v>
      </c>
      <c r="AA21" s="269"/>
      <c r="AB21" s="269"/>
      <c r="AC21" s="269"/>
      <c r="AD21" s="269">
        <f>'[2]PRIH REBALANS'!$AG$286</f>
        <v>102000</v>
      </c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09">
        <f>'[4]BUDŽET 2021'!$R$267</f>
        <v>107.46268656716418</v>
      </c>
      <c r="AQ21" s="209" t="e">
        <f>AP21-#REF!</f>
        <v>#REF!</v>
      </c>
    </row>
    <row r="22" spans="1:43" ht="27.75" customHeight="1">
      <c r="A22" s="7"/>
      <c r="B22" s="7"/>
      <c r="C22" s="7"/>
      <c r="D22" s="7"/>
      <c r="E22" s="282"/>
      <c r="F22" s="2835">
        <v>613700</v>
      </c>
      <c r="G22" s="2836" t="s">
        <v>177</v>
      </c>
      <c r="H22" s="2829">
        <v>699000</v>
      </c>
      <c r="I22" s="2830">
        <v>2847500</v>
      </c>
      <c r="J22" s="2831"/>
      <c r="K22" s="2817">
        <f t="shared" si="13"/>
        <v>3546500</v>
      </c>
      <c r="L22" s="2832">
        <v>801000</v>
      </c>
      <c r="M22" s="2833">
        <v>2755500</v>
      </c>
      <c r="N22" s="2834"/>
      <c r="O22" s="2818">
        <f t="shared" si="14"/>
        <v>3556500</v>
      </c>
      <c r="P22" s="2810">
        <f t="shared" si="5"/>
        <v>100.28196813760044</v>
      </c>
      <c r="Q22" s="2197"/>
      <c r="R22" s="2207">
        <f>'[9]PRIH REBALANS'!$AG$267</f>
        <v>801000</v>
      </c>
      <c r="S22" s="2197"/>
      <c r="T22" s="962"/>
      <c r="U22" s="961">
        <f t="shared" si="3"/>
        <v>0</v>
      </c>
      <c r="V22" s="962"/>
      <c r="W22" s="961">
        <f t="shared" si="0"/>
        <v>0</v>
      </c>
      <c r="X22" s="269">
        <f t="shared" si="7"/>
        <v>0</v>
      </c>
      <c r="Y22" s="269"/>
      <c r="Z22" s="269">
        <f t="shared" si="4"/>
        <v>-3546500</v>
      </c>
      <c r="AA22" s="269"/>
      <c r="AB22" s="269"/>
      <c r="AC22" s="269"/>
      <c r="AD22" s="269"/>
      <c r="AE22" s="269">
        <f>'[2]PRIH REBALANS'!$AH$287</f>
        <v>2847500</v>
      </c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Q22" s="209" t="e">
        <f>AP22-#REF!</f>
        <v>#REF!</v>
      </c>
    </row>
    <row r="23" spans="1:43" ht="27.75" customHeight="1">
      <c r="A23" s="7"/>
      <c r="B23" s="7"/>
      <c r="C23" s="7"/>
      <c r="D23" s="7"/>
      <c r="E23" s="282"/>
      <c r="F23" s="2835">
        <v>613700</v>
      </c>
      <c r="G23" s="2836" t="s">
        <v>178</v>
      </c>
      <c r="H23" s="2829"/>
      <c r="I23" s="2830">
        <v>756587</v>
      </c>
      <c r="J23" s="2831"/>
      <c r="K23" s="2817">
        <f t="shared" si="13"/>
        <v>756587</v>
      </c>
      <c r="L23" s="2832"/>
      <c r="M23" s="2833"/>
      <c r="N23" s="2834"/>
      <c r="O23" s="2818">
        <f t="shared" si="14"/>
        <v>0</v>
      </c>
      <c r="P23" s="2810">
        <f t="shared" si="5"/>
        <v>0</v>
      </c>
      <c r="Q23" s="2197"/>
      <c r="R23" s="2207"/>
      <c r="S23" s="2197"/>
      <c r="T23" s="962"/>
      <c r="U23" s="961">
        <f t="shared" si="3"/>
        <v>0</v>
      </c>
      <c r="V23" s="962"/>
      <c r="W23" s="961">
        <f t="shared" si="0"/>
        <v>0</v>
      </c>
      <c r="X23" s="269">
        <f t="shared" si="7"/>
        <v>0</v>
      </c>
      <c r="Y23" s="269"/>
      <c r="Z23" s="269">
        <f t="shared" si="4"/>
        <v>-756587</v>
      </c>
      <c r="AA23" s="269"/>
      <c r="AB23" s="269"/>
      <c r="AC23" s="269"/>
      <c r="AD23" s="269"/>
      <c r="AE23" s="269">
        <f>'[2]PRIH REBALANS'!$AI$287</f>
        <v>756587</v>
      </c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Q23" s="209" t="e">
        <f>AP23-#REF!</f>
        <v>#REF!</v>
      </c>
    </row>
    <row r="24" spans="1:43" ht="27.75" customHeight="1">
      <c r="A24" s="7"/>
      <c r="B24" s="7"/>
      <c r="C24" s="7"/>
      <c r="D24" s="7"/>
      <c r="E24" s="282"/>
      <c r="F24" s="2828">
        <v>613800</v>
      </c>
      <c r="G24" s="2827" t="s">
        <v>179</v>
      </c>
      <c r="H24" s="2802">
        <v>81000</v>
      </c>
      <c r="I24" s="2803">
        <v>6000</v>
      </c>
      <c r="J24" s="2804"/>
      <c r="K24" s="2817">
        <f t="shared" si="13"/>
        <v>87000</v>
      </c>
      <c r="L24" s="2806">
        <v>86000</v>
      </c>
      <c r="M24" s="2807">
        <v>6000</v>
      </c>
      <c r="N24" s="2808"/>
      <c r="O24" s="2818">
        <f t="shared" si="14"/>
        <v>92000</v>
      </c>
      <c r="P24" s="2810">
        <f t="shared" si="5"/>
        <v>105.74712643678161</v>
      </c>
      <c r="Q24" s="2197"/>
      <c r="R24" s="2207"/>
      <c r="S24" s="2197"/>
      <c r="T24" s="962"/>
      <c r="U24" s="961">
        <f t="shared" si="3"/>
        <v>0</v>
      </c>
      <c r="V24" s="962"/>
      <c r="W24" s="961">
        <f t="shared" si="0"/>
        <v>0</v>
      </c>
      <c r="X24" s="269">
        <f t="shared" si="7"/>
        <v>0</v>
      </c>
      <c r="Y24" s="269"/>
      <c r="Z24" s="269">
        <f t="shared" si="4"/>
        <v>-87000</v>
      </c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Q24" s="209" t="e">
        <f>AP24-#REF!</f>
        <v>#REF!</v>
      </c>
    </row>
    <row r="25" spans="1:43" ht="27.75" customHeight="1">
      <c r="A25" s="7"/>
      <c r="B25" s="7"/>
      <c r="C25" s="7"/>
      <c r="D25" s="7"/>
      <c r="E25" s="282"/>
      <c r="F25" s="2828">
        <v>613900</v>
      </c>
      <c r="G25" s="2827" t="s">
        <v>180</v>
      </c>
      <c r="H25" s="2802">
        <v>7796950</v>
      </c>
      <c r="I25" s="2803">
        <v>437000</v>
      </c>
      <c r="J25" s="2804">
        <v>39560</v>
      </c>
      <c r="K25" s="2817">
        <f t="shared" si="13"/>
        <v>8273510</v>
      </c>
      <c r="L25" s="2806">
        <v>3963700</v>
      </c>
      <c r="M25" s="2807">
        <v>512000</v>
      </c>
      <c r="N25" s="2808">
        <v>384451</v>
      </c>
      <c r="O25" s="2818">
        <f t="shared" si="14"/>
        <v>4860151</v>
      </c>
      <c r="P25" s="2810">
        <f t="shared" si="5"/>
        <v>58.743519981241334</v>
      </c>
      <c r="Q25" s="2197"/>
      <c r="R25" s="2207"/>
      <c r="S25" s="2197"/>
      <c r="T25" s="962"/>
      <c r="U25" s="961">
        <f t="shared" si="3"/>
        <v>0</v>
      </c>
      <c r="V25" s="962"/>
      <c r="W25" s="961">
        <f t="shared" si="0"/>
        <v>0</v>
      </c>
      <c r="X25" s="269">
        <f>'[2]PRIH REBALANS'!$AK$290</f>
        <v>8273510</v>
      </c>
      <c r="Y25" s="269">
        <f>'[2]PRIH REBALANS'!$AG$290</f>
        <v>7796950</v>
      </c>
      <c r="Z25" s="269">
        <f t="shared" si="4"/>
        <v>-476560</v>
      </c>
      <c r="AA25" s="269"/>
      <c r="AB25" s="269"/>
      <c r="AC25" s="269"/>
      <c r="AD25" s="269">
        <f>'[2]PRIH REBALANS'!$AG$290</f>
        <v>7796950</v>
      </c>
      <c r="AE25" s="269">
        <f>'[2]PRIH REBALANS'!$AH$290</f>
        <v>437000</v>
      </c>
      <c r="AF25" s="269">
        <f>'[2]PRIH REBALANS'!$AJ$290</f>
        <v>39560</v>
      </c>
      <c r="AG25" s="269"/>
      <c r="AH25" s="269"/>
      <c r="AI25" s="269"/>
      <c r="AJ25" s="269"/>
      <c r="AK25" s="269"/>
      <c r="AL25" s="269"/>
      <c r="AM25" s="269"/>
      <c r="AN25" s="269"/>
      <c r="AO25" s="269"/>
      <c r="AQ25" s="209" t="e">
        <f>AP25-#REF!</f>
        <v>#REF!</v>
      </c>
    </row>
    <row r="26" spans="1:43" ht="33" customHeight="1">
      <c r="A26" s="7"/>
      <c r="B26" s="7"/>
      <c r="C26" s="7"/>
      <c r="D26" s="7"/>
      <c r="E26" s="282"/>
      <c r="F26" s="2828">
        <v>613900</v>
      </c>
      <c r="G26" s="2827" t="s">
        <v>648</v>
      </c>
      <c r="H26" s="2802"/>
      <c r="I26" s="2803">
        <v>793657</v>
      </c>
      <c r="J26" s="2804"/>
      <c r="K26" s="2817">
        <f t="shared" si="13"/>
        <v>793657</v>
      </c>
      <c r="L26" s="2806"/>
      <c r="M26" s="2807"/>
      <c r="N26" s="2808"/>
      <c r="O26" s="2818">
        <f t="shared" si="14"/>
        <v>0</v>
      </c>
      <c r="P26" s="2810">
        <f t="shared" si="5"/>
        <v>0</v>
      </c>
      <c r="Q26" s="2197"/>
      <c r="R26" s="2207"/>
      <c r="S26" s="2197"/>
      <c r="T26" s="962"/>
      <c r="U26" s="961">
        <f t="shared" si="3"/>
        <v>0</v>
      </c>
      <c r="V26" s="962"/>
      <c r="W26" s="961">
        <f t="shared" si="0"/>
        <v>0</v>
      </c>
      <c r="X26" s="269">
        <f t="shared" si="7"/>
        <v>0</v>
      </c>
      <c r="Y26" s="269"/>
      <c r="Z26" s="269">
        <f t="shared" si="4"/>
        <v>-793657</v>
      </c>
      <c r="AA26" s="269"/>
      <c r="AB26" s="269"/>
      <c r="AC26" s="269"/>
      <c r="AD26" s="269"/>
      <c r="AE26" s="269">
        <f>'[2]PRIH REBALANS'!$AI$291</f>
        <v>793657</v>
      </c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Q26" s="209" t="e">
        <f>AP26-#REF!</f>
        <v>#REF!</v>
      </c>
    </row>
    <row r="27" spans="1:43" ht="26.25" customHeight="1">
      <c r="A27" s="7"/>
      <c r="B27" s="7"/>
      <c r="C27" s="7"/>
      <c r="D27" s="7"/>
      <c r="E27" s="282"/>
      <c r="F27" s="2837" t="s">
        <v>894</v>
      </c>
      <c r="G27" s="2838" t="s">
        <v>181</v>
      </c>
      <c r="H27" s="2791">
        <f t="shared" ref="H27:O27" si="15">SUM(H28:H35)</f>
        <v>14588253</v>
      </c>
      <c r="I27" s="2792">
        <f t="shared" si="15"/>
        <v>456756</v>
      </c>
      <c r="J27" s="2793">
        <f t="shared" si="15"/>
        <v>1860902</v>
      </c>
      <c r="K27" s="2839">
        <f t="shared" si="15"/>
        <v>16905911</v>
      </c>
      <c r="L27" s="2795">
        <f>SUM(L28:L35)</f>
        <v>13784280</v>
      </c>
      <c r="M27" s="2796">
        <f t="shared" si="15"/>
        <v>445000</v>
      </c>
      <c r="N27" s="2797">
        <f t="shared" si="15"/>
        <v>200000</v>
      </c>
      <c r="O27" s="2840">
        <f t="shared" si="15"/>
        <v>14429280</v>
      </c>
      <c r="P27" s="2799">
        <f t="shared" si="5"/>
        <v>85.350502554993938</v>
      </c>
      <c r="Q27" s="2196">
        <f>'[1]PRIH REBALANS'!$AK$272</f>
        <v>14429280</v>
      </c>
      <c r="R27" s="2206">
        <f>'[9]PRIH REBALANS'!$AK$272</f>
        <v>14429280</v>
      </c>
      <c r="S27" s="2196"/>
      <c r="T27" s="962">
        <f>SUM(K28:K35)</f>
        <v>16905911</v>
      </c>
      <c r="U27" s="961">
        <f t="shared" si="3"/>
        <v>0</v>
      </c>
      <c r="V27" s="962">
        <f>'[3]PRIH REBALANS'!$AK$292</f>
        <v>16925911</v>
      </c>
      <c r="W27" s="961">
        <f t="shared" si="0"/>
        <v>0</v>
      </c>
      <c r="X27" s="472">
        <f>H27+I27+J27-K27</f>
        <v>0</v>
      </c>
      <c r="Y27" s="472">
        <f>'[2]PRIH REBALANS'!$AK$292</f>
        <v>16930911</v>
      </c>
      <c r="Z27" s="269">
        <f t="shared" si="4"/>
        <v>25000</v>
      </c>
      <c r="AA27" s="472"/>
      <c r="AB27" s="472"/>
      <c r="AC27" s="472"/>
      <c r="AD27" s="269">
        <f>'[2]PRIH REBALANS'!$AK$292</f>
        <v>16930911</v>
      </c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09">
        <f>'[4]BUDŽET 2021'!$R$273</f>
        <v>88.544133859278588</v>
      </c>
      <c r="AQ27" s="209" t="e">
        <f>AP27-#REF!</f>
        <v>#REF!</v>
      </c>
    </row>
    <row r="28" spans="1:43" ht="41.25" customHeight="1">
      <c r="A28" s="7"/>
      <c r="B28" s="7"/>
      <c r="C28" s="7"/>
      <c r="D28" s="7"/>
      <c r="E28" s="282"/>
      <c r="F28" s="2800">
        <v>614100</v>
      </c>
      <c r="G28" s="2827" t="s">
        <v>182</v>
      </c>
      <c r="H28" s="2841">
        <v>5303625</v>
      </c>
      <c r="I28" s="2842">
        <v>25000</v>
      </c>
      <c r="J28" s="2843">
        <v>40000</v>
      </c>
      <c r="K28" s="2817">
        <f>SUM(H28+I28+J28)</f>
        <v>5368625</v>
      </c>
      <c r="L28" s="2806">
        <v>5045980</v>
      </c>
      <c r="M28" s="2807">
        <v>20000</v>
      </c>
      <c r="N28" s="2808">
        <v>50000</v>
      </c>
      <c r="O28" s="2818">
        <f>SUM(L28+M28+N28)</f>
        <v>5115980</v>
      </c>
      <c r="P28" s="2810">
        <f t="shared" si="5"/>
        <v>95.294046427157795</v>
      </c>
      <c r="Q28" s="2197"/>
      <c r="R28" s="2207"/>
      <c r="S28" s="2197"/>
      <c r="T28" s="962"/>
      <c r="U28" s="961">
        <f t="shared" si="3"/>
        <v>0</v>
      </c>
      <c r="V28" s="962"/>
      <c r="W28" s="961">
        <f t="shared" si="0"/>
        <v>0</v>
      </c>
      <c r="X28" s="269">
        <f>'[3]PRIH REBALANS'!$AG$293</f>
        <v>5303625</v>
      </c>
      <c r="Y28" s="269"/>
      <c r="Z28" s="269">
        <f t="shared" si="4"/>
        <v>-5368625</v>
      </c>
      <c r="AA28" s="269"/>
      <c r="AB28" s="269"/>
      <c r="AC28" s="269"/>
      <c r="AD28" s="269">
        <f>'[2]PRIH REBALANS'!$AG$293</f>
        <v>5318625</v>
      </c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</row>
    <row r="29" spans="1:43" ht="41.25" customHeight="1">
      <c r="A29" s="7"/>
      <c r="B29" s="7"/>
      <c r="C29" s="7"/>
      <c r="D29" s="7"/>
      <c r="E29" s="282"/>
      <c r="F29" s="2800">
        <v>614100</v>
      </c>
      <c r="G29" s="2827" t="s">
        <v>801</v>
      </c>
      <c r="H29" s="2841">
        <f>SUM(W931)</f>
        <v>0</v>
      </c>
      <c r="I29" s="2842"/>
      <c r="J29" s="2843">
        <v>8817</v>
      </c>
      <c r="K29" s="2817">
        <f t="shared" ref="K29:K35" si="16">SUM(H29+I29+J29)</f>
        <v>8817</v>
      </c>
      <c r="L29" s="2806"/>
      <c r="M29" s="2807"/>
      <c r="N29" s="2808"/>
      <c r="O29" s="2818">
        <f t="shared" ref="O29:O35" si="17">SUM(L29+M29+N29)</f>
        <v>0</v>
      </c>
      <c r="P29" s="2810">
        <f t="shared" si="5"/>
        <v>0</v>
      </c>
      <c r="Q29" s="2197"/>
      <c r="R29" s="2207"/>
      <c r="S29" s="2197"/>
      <c r="T29" s="962"/>
      <c r="U29" s="961">
        <f t="shared" si="3"/>
        <v>0</v>
      </c>
      <c r="V29" s="962">
        <f>SUM(J29,J32,J34)</f>
        <v>354822</v>
      </c>
      <c r="W29" s="961">
        <f t="shared" si="0"/>
        <v>0</v>
      </c>
      <c r="X29" s="269">
        <f t="shared" si="7"/>
        <v>0</v>
      </c>
      <c r="Y29" s="269"/>
      <c r="Z29" s="269">
        <f t="shared" si="4"/>
        <v>-8817</v>
      </c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</row>
    <row r="30" spans="1:43" ht="41.25" customHeight="1">
      <c r="A30" s="7"/>
      <c r="B30" s="7"/>
      <c r="C30" s="7"/>
      <c r="D30" s="7"/>
      <c r="E30" s="282"/>
      <c r="F30" s="2828">
        <v>614200</v>
      </c>
      <c r="G30" s="2812" t="s">
        <v>183</v>
      </c>
      <c r="H30" s="2841">
        <v>1015000</v>
      </c>
      <c r="I30" s="2842">
        <v>20000</v>
      </c>
      <c r="J30" s="2843">
        <f>SUM(Y968:Y968,Y1095,Y1280,Y1351,Y1326:Y1327,Y1567,)</f>
        <v>0</v>
      </c>
      <c r="K30" s="2817">
        <f t="shared" si="16"/>
        <v>1035000</v>
      </c>
      <c r="L30" s="2806">
        <v>941500</v>
      </c>
      <c r="M30" s="2807">
        <v>25000</v>
      </c>
      <c r="N30" s="2808"/>
      <c r="O30" s="2818">
        <f>SUM(L30+M30+N30)</f>
        <v>966500</v>
      </c>
      <c r="P30" s="2810">
        <f t="shared" si="5"/>
        <v>93.381642512077292</v>
      </c>
      <c r="Q30" s="2197"/>
      <c r="R30" s="2207"/>
      <c r="S30" s="2197"/>
      <c r="T30" s="962"/>
      <c r="U30" s="961">
        <f t="shared" si="3"/>
        <v>0</v>
      </c>
      <c r="V30" s="962"/>
      <c r="W30" s="961">
        <f t="shared" si="0"/>
        <v>0</v>
      </c>
      <c r="X30" s="269">
        <f>'[3]PRIH REBALANS'!$AG$295</f>
        <v>1015000</v>
      </c>
      <c r="Y30" s="269"/>
      <c r="Z30" s="269">
        <f t="shared" si="4"/>
        <v>-1035000</v>
      </c>
      <c r="AA30" s="269"/>
      <c r="AB30" s="269"/>
      <c r="AC30" s="269"/>
      <c r="AD30" s="269">
        <f>'[2]PRIH REBALANS'!$AG$295</f>
        <v>1005000</v>
      </c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</row>
    <row r="31" spans="1:43" ht="41.25" customHeight="1">
      <c r="A31" s="7"/>
      <c r="B31" s="7"/>
      <c r="C31" s="7"/>
      <c r="D31" s="7"/>
      <c r="E31" s="282"/>
      <c r="F31" s="2828">
        <v>614300</v>
      </c>
      <c r="G31" s="2801" t="s">
        <v>184</v>
      </c>
      <c r="H31" s="2841">
        <v>6581628</v>
      </c>
      <c r="I31" s="2842"/>
      <c r="J31" s="2843">
        <v>736060</v>
      </c>
      <c r="K31" s="2817">
        <f t="shared" si="16"/>
        <v>7317688</v>
      </c>
      <c r="L31" s="2806">
        <v>6296800</v>
      </c>
      <c r="M31" s="2807">
        <v>100000</v>
      </c>
      <c r="N31" s="2808">
        <v>150000</v>
      </c>
      <c r="O31" s="2818">
        <f t="shared" si="17"/>
        <v>6546800</v>
      </c>
      <c r="P31" s="2810">
        <f t="shared" si="5"/>
        <v>89.465415852657287</v>
      </c>
      <c r="Q31" s="2197"/>
      <c r="R31" s="2207">
        <f>'[9]PRIH REBALANS'!$AG$277</f>
        <v>6296800</v>
      </c>
      <c r="S31" s="2197"/>
      <c r="T31" s="962"/>
      <c r="U31" s="961">
        <f t="shared" si="3"/>
        <v>0</v>
      </c>
      <c r="V31" s="962"/>
      <c r="W31" s="961">
        <f t="shared" si="0"/>
        <v>0</v>
      </c>
      <c r="X31" s="269">
        <f t="shared" si="7"/>
        <v>0</v>
      </c>
      <c r="Y31" s="269"/>
      <c r="Z31" s="269">
        <f t="shared" si="4"/>
        <v>-7317688</v>
      </c>
      <c r="AA31" s="269">
        <f>'[2]PRIH REBALANS'!$AG$297</f>
        <v>6581628</v>
      </c>
      <c r="AB31" s="269"/>
      <c r="AC31" s="269"/>
      <c r="AD31" s="269">
        <f>'[2]PRIH REBALANS'!$AG$297</f>
        <v>6581628</v>
      </c>
      <c r="AE31" s="269"/>
      <c r="AF31" s="269">
        <f>'[2]PRIH REBALANS'!$AJ$297</f>
        <v>736060</v>
      </c>
      <c r="AG31" s="269"/>
      <c r="AH31" s="269"/>
      <c r="AI31" s="269"/>
      <c r="AJ31" s="269"/>
      <c r="AK31" s="269"/>
      <c r="AL31" s="269"/>
      <c r="AM31" s="269"/>
      <c r="AN31" s="269"/>
      <c r="AO31" s="269"/>
      <c r="AP31" s="209">
        <f>'[4]BUDŽET 2021'!$M$278</f>
        <v>6220000</v>
      </c>
    </row>
    <row r="32" spans="1:43" ht="41.25" customHeight="1">
      <c r="A32" s="7"/>
      <c r="B32" s="7"/>
      <c r="C32" s="7"/>
      <c r="D32" s="7"/>
      <c r="E32" s="282"/>
      <c r="F32" s="2828">
        <v>614300</v>
      </c>
      <c r="G32" s="2801" t="s">
        <v>185</v>
      </c>
      <c r="H32" s="2841"/>
      <c r="I32" s="2842"/>
      <c r="J32" s="2843">
        <v>346005</v>
      </c>
      <c r="K32" s="2817">
        <f t="shared" si="16"/>
        <v>346005</v>
      </c>
      <c r="L32" s="2806"/>
      <c r="M32" s="2807"/>
      <c r="N32" s="2808"/>
      <c r="O32" s="2818">
        <f t="shared" si="17"/>
        <v>0</v>
      </c>
      <c r="P32" s="2810">
        <f t="shared" si="5"/>
        <v>0</v>
      </c>
      <c r="Q32" s="2197"/>
      <c r="R32" s="2207"/>
      <c r="S32" s="2197"/>
      <c r="T32" s="962"/>
      <c r="U32" s="961">
        <f t="shared" si="3"/>
        <v>0</v>
      </c>
      <c r="V32" s="962"/>
      <c r="W32" s="961">
        <f t="shared" si="0"/>
        <v>0</v>
      </c>
      <c r="X32" s="269">
        <f t="shared" si="7"/>
        <v>0</v>
      </c>
      <c r="Y32" s="269"/>
      <c r="Z32" s="269">
        <f t="shared" si="4"/>
        <v>-346005</v>
      </c>
      <c r="AA32" s="269"/>
      <c r="AB32" s="269"/>
      <c r="AC32" s="269"/>
      <c r="AD32" s="269"/>
      <c r="AE32" s="269">
        <f>'[2]PRIH REBALANS'!$AI$298</f>
        <v>346005</v>
      </c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</row>
    <row r="33" spans="1:42" ht="41.25" customHeight="1">
      <c r="A33" s="7"/>
      <c r="B33" s="7"/>
      <c r="C33" s="7"/>
      <c r="D33" s="7"/>
      <c r="E33" s="282"/>
      <c r="F33" s="2828">
        <v>614400</v>
      </c>
      <c r="G33" s="2801" t="s">
        <v>649</v>
      </c>
      <c r="H33" s="2841">
        <v>1558000</v>
      </c>
      <c r="I33" s="2842">
        <v>130000</v>
      </c>
      <c r="J33" s="2843">
        <v>730020</v>
      </c>
      <c r="K33" s="2817">
        <f t="shared" si="16"/>
        <v>2418020</v>
      </c>
      <c r="L33" s="2806">
        <v>1400000</v>
      </c>
      <c r="M33" s="2807">
        <v>300000</v>
      </c>
      <c r="N33" s="2808"/>
      <c r="O33" s="2818">
        <f t="shared" si="17"/>
        <v>1700000</v>
      </c>
      <c r="P33" s="2810">
        <f t="shared" si="5"/>
        <v>70.30545653054979</v>
      </c>
      <c r="Q33" s="2197"/>
      <c r="R33" s="2207"/>
      <c r="S33" s="2197"/>
      <c r="T33" s="962"/>
      <c r="U33" s="961">
        <f t="shared" si="3"/>
        <v>0</v>
      </c>
      <c r="V33" s="962"/>
      <c r="W33" s="961">
        <f t="shared" si="0"/>
        <v>0</v>
      </c>
      <c r="X33" s="269">
        <f>'[2]PRIH REBALANS'!$AG$300</f>
        <v>1558000</v>
      </c>
      <c r="Y33" s="269"/>
      <c r="Z33" s="269">
        <f t="shared" si="4"/>
        <v>-2418020</v>
      </c>
      <c r="AA33" s="269">
        <f>'[2]PRIH REBALANS'!$AG$300</f>
        <v>1558000</v>
      </c>
      <c r="AB33" s="269">
        <f>'[2]PRIH REBALANS'!$AJ$300</f>
        <v>730020</v>
      </c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09">
        <f>'[4]BUDŽET 2021'!$M$281</f>
        <v>998000</v>
      </c>
    </row>
    <row r="34" spans="1:42" ht="41.25" customHeight="1">
      <c r="A34" s="7"/>
      <c r="B34" s="7"/>
      <c r="C34" s="7"/>
      <c r="D34" s="7"/>
      <c r="E34" s="282"/>
      <c r="F34" s="2828">
        <v>614400</v>
      </c>
      <c r="G34" s="2801" t="s">
        <v>802</v>
      </c>
      <c r="H34" s="2841">
        <f>SUM(W1571,W1100,W1393)</f>
        <v>0</v>
      </c>
      <c r="I34" s="2842">
        <v>281756</v>
      </c>
      <c r="J34" s="2843"/>
      <c r="K34" s="2817">
        <f t="shared" si="16"/>
        <v>281756</v>
      </c>
      <c r="L34" s="2806"/>
      <c r="M34" s="2807"/>
      <c r="N34" s="2808"/>
      <c r="O34" s="2818">
        <f t="shared" si="17"/>
        <v>0</v>
      </c>
      <c r="P34" s="2810">
        <f t="shared" si="5"/>
        <v>0</v>
      </c>
      <c r="Q34" s="2197"/>
      <c r="R34" s="2207"/>
      <c r="S34" s="2197"/>
      <c r="T34" s="962"/>
      <c r="U34" s="961">
        <f t="shared" si="3"/>
        <v>0</v>
      </c>
      <c r="V34" s="962"/>
      <c r="W34" s="961">
        <f t="shared" si="0"/>
        <v>0</v>
      </c>
      <c r="X34" s="269">
        <f t="shared" si="7"/>
        <v>0</v>
      </c>
      <c r="Y34" s="269"/>
      <c r="Z34" s="269">
        <f t="shared" si="4"/>
        <v>-281756</v>
      </c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</row>
    <row r="35" spans="1:42" ht="41.25" customHeight="1">
      <c r="A35" s="18"/>
      <c r="B35" s="18"/>
      <c r="C35" s="18"/>
      <c r="D35" s="18"/>
      <c r="E35" s="283"/>
      <c r="F35" s="2844" t="s">
        <v>186</v>
      </c>
      <c r="G35" s="2845" t="s">
        <v>187</v>
      </c>
      <c r="H35" s="2846">
        <v>130000</v>
      </c>
      <c r="I35" s="2847"/>
      <c r="J35" s="2848"/>
      <c r="K35" s="2817">
        <f t="shared" si="16"/>
        <v>130000</v>
      </c>
      <c r="L35" s="2849">
        <v>100000</v>
      </c>
      <c r="M35" s="2850"/>
      <c r="N35" s="2851"/>
      <c r="O35" s="2818">
        <f t="shared" si="17"/>
        <v>100000</v>
      </c>
      <c r="P35" s="2810">
        <f t="shared" si="5"/>
        <v>76.923076923076934</v>
      </c>
      <c r="Q35" s="2197"/>
      <c r="R35" s="2207"/>
      <c r="S35" s="2197"/>
      <c r="T35" s="962"/>
      <c r="U35" s="961">
        <f t="shared" si="3"/>
        <v>0</v>
      </c>
      <c r="V35" s="962"/>
      <c r="W35" s="961">
        <f t="shared" si="0"/>
        <v>0</v>
      </c>
      <c r="X35" s="269">
        <f t="shared" si="7"/>
        <v>0</v>
      </c>
      <c r="Y35" s="269"/>
      <c r="Z35" s="269">
        <f t="shared" si="4"/>
        <v>-130000</v>
      </c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</row>
    <row r="36" spans="1:42" ht="41.25" customHeight="1">
      <c r="A36" s="7"/>
      <c r="B36" s="7"/>
      <c r="C36" s="7"/>
      <c r="D36" s="7"/>
      <c r="E36" s="282"/>
      <c r="F36" s="2828" t="s">
        <v>188</v>
      </c>
      <c r="G36" s="2814" t="s">
        <v>650</v>
      </c>
      <c r="H36" s="2846">
        <v>335000</v>
      </c>
      <c r="I36" s="2847">
        <v>1089357</v>
      </c>
      <c r="J36" s="2848">
        <v>268043</v>
      </c>
      <c r="K36" s="2852">
        <f>SUM(H36+I36+J36)</f>
        <v>1692400</v>
      </c>
      <c r="L36" s="2853">
        <v>245000</v>
      </c>
      <c r="M36" s="2850">
        <v>50000</v>
      </c>
      <c r="N36" s="2851">
        <v>350000</v>
      </c>
      <c r="O36" s="2854">
        <f>SUM(L36+M36+N36)</f>
        <v>645000</v>
      </c>
      <c r="P36" s="2799">
        <f t="shared" si="5"/>
        <v>38.111557551406285</v>
      </c>
      <c r="Q36" s="2196">
        <f>'[1]PRIH REBALANS'!$AK$283</f>
        <v>645000</v>
      </c>
      <c r="R36" s="2206">
        <f>'[1]PRIH REBALANS'!$AG$283</f>
        <v>245000</v>
      </c>
      <c r="S36" s="2196"/>
      <c r="T36" s="962">
        <f>K36+K37</f>
        <v>1893045</v>
      </c>
      <c r="U36" s="961">
        <f>'[3]PRIH REBALANS'!$AK$303</f>
        <v>1893045</v>
      </c>
      <c r="V36" s="962">
        <f>'[3]PRIH REBALANS'!$AK$303</f>
        <v>1893045</v>
      </c>
      <c r="W36" s="961">
        <f t="shared" si="0"/>
        <v>0</v>
      </c>
      <c r="X36" s="472">
        <f>'[3]PRIH REBALANS'!$AK$303</f>
        <v>1893045</v>
      </c>
      <c r="Y36" s="472">
        <f>'[3]PRIH REBALANS'!$AG$303</f>
        <v>335000</v>
      </c>
      <c r="Z36" s="269">
        <f>'[3]PRIH REBALANS'!$AH$303</f>
        <v>1089357</v>
      </c>
      <c r="AA36" s="472"/>
      <c r="AB36" s="472"/>
      <c r="AC36" s="472"/>
      <c r="AD36" s="269">
        <f>'[2]PRIH REBALANS'!$AG$303</f>
        <v>335000</v>
      </c>
      <c r="AE36" s="269">
        <f>'[2]PRIH REBALANS'!$AH$303</f>
        <v>953357</v>
      </c>
      <c r="AF36" s="269">
        <f>'[2]PRIH REBALANS'!$AJ$303</f>
        <v>268043</v>
      </c>
      <c r="AG36" s="269"/>
      <c r="AH36" s="269"/>
      <c r="AI36" s="269"/>
      <c r="AJ36" s="269"/>
      <c r="AK36" s="269"/>
      <c r="AL36" s="269"/>
      <c r="AM36" s="269"/>
      <c r="AN36" s="269"/>
      <c r="AO36" s="269"/>
    </row>
    <row r="37" spans="1:42" ht="50.25" customHeight="1">
      <c r="A37" s="7"/>
      <c r="B37" s="7"/>
      <c r="C37" s="7"/>
      <c r="D37" s="7"/>
      <c r="E37" s="282"/>
      <c r="F37" s="2828" t="s">
        <v>188</v>
      </c>
      <c r="G37" s="2814" t="s">
        <v>651</v>
      </c>
      <c r="H37" s="2846"/>
      <c r="I37" s="2847">
        <v>200645</v>
      </c>
      <c r="J37" s="2848"/>
      <c r="K37" s="2852">
        <f t="shared" ref="K37:K39" si="18">SUM(H37+I37+J37)</f>
        <v>200645</v>
      </c>
      <c r="L37" s="2806"/>
      <c r="M37" s="2850"/>
      <c r="N37" s="2851"/>
      <c r="O37" s="2854">
        <f t="shared" ref="O37:O39" si="19">SUM(L37+M37+N37)</f>
        <v>0</v>
      </c>
      <c r="P37" s="2799">
        <f t="shared" si="5"/>
        <v>0</v>
      </c>
      <c r="Q37" s="2196"/>
      <c r="R37" s="2206"/>
      <c r="S37" s="2196"/>
      <c r="T37" s="962"/>
      <c r="U37" s="961">
        <f>U36-K36</f>
        <v>200645</v>
      </c>
      <c r="V37" s="962"/>
      <c r="W37" s="961">
        <f t="shared" si="0"/>
        <v>0</v>
      </c>
      <c r="X37" s="472">
        <f>X36-K36</f>
        <v>200645</v>
      </c>
      <c r="Y37" s="472">
        <f>'[3]PRIH REBALANS'!$AI$303</f>
        <v>200645</v>
      </c>
      <c r="Z37" s="269">
        <f>Z36-K36</f>
        <v>-603043</v>
      </c>
      <c r="AA37" s="472"/>
      <c r="AB37" s="472"/>
      <c r="AC37" s="472"/>
      <c r="AD37" s="269">
        <f>'[2]PRIH REBALANS'!$AI$303</f>
        <v>200645</v>
      </c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</row>
    <row r="38" spans="1:42" ht="29.25" customHeight="1">
      <c r="A38" s="7"/>
      <c r="B38" s="7"/>
      <c r="C38" s="7"/>
      <c r="D38" s="7"/>
      <c r="E38" s="282"/>
      <c r="F38" s="2828" t="s">
        <v>189</v>
      </c>
      <c r="G38" s="2814" t="s">
        <v>190</v>
      </c>
      <c r="H38" s="2846">
        <v>309000</v>
      </c>
      <c r="I38" s="2847"/>
      <c r="J38" s="2848"/>
      <c r="K38" s="2852">
        <f t="shared" si="18"/>
        <v>309000</v>
      </c>
      <c r="L38" s="2855">
        <v>310000</v>
      </c>
      <c r="M38" s="2850"/>
      <c r="N38" s="2851"/>
      <c r="O38" s="2854">
        <f t="shared" si="19"/>
        <v>310000</v>
      </c>
      <c r="P38" s="2799">
        <f t="shared" si="5"/>
        <v>100.32362459546927</v>
      </c>
      <c r="Q38" s="2196">
        <f>'[1]PRIH REBALANS'!$AK$285</f>
        <v>310000</v>
      </c>
      <c r="R38" s="2206"/>
      <c r="S38" s="2196"/>
      <c r="T38" s="962"/>
      <c r="U38" s="961">
        <f t="shared" si="3"/>
        <v>0</v>
      </c>
      <c r="V38" s="962"/>
      <c r="W38" s="961">
        <f t="shared" si="0"/>
        <v>0</v>
      </c>
      <c r="X38" s="269">
        <f t="shared" si="7"/>
        <v>0</v>
      </c>
      <c r="Y38" s="269"/>
      <c r="Z38" s="269">
        <f t="shared" si="4"/>
        <v>-309000</v>
      </c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</row>
    <row r="39" spans="1:42" ht="30.75" customHeight="1">
      <c r="A39" s="7"/>
      <c r="B39" s="7"/>
      <c r="C39" s="7"/>
      <c r="D39" s="7"/>
      <c r="E39" s="282"/>
      <c r="F39" s="2828" t="s">
        <v>191</v>
      </c>
      <c r="G39" s="2838" t="s">
        <v>31</v>
      </c>
      <c r="H39" s="2846">
        <v>50000</v>
      </c>
      <c r="I39" s="2847"/>
      <c r="J39" s="2848"/>
      <c r="K39" s="2852">
        <f t="shared" si="18"/>
        <v>50000</v>
      </c>
      <c r="L39" s="2855">
        <v>50000</v>
      </c>
      <c r="M39" s="2850"/>
      <c r="N39" s="2851"/>
      <c r="O39" s="2854">
        <f t="shared" si="19"/>
        <v>50000</v>
      </c>
      <c r="P39" s="2799">
        <f t="shared" si="5"/>
        <v>100</v>
      </c>
      <c r="Q39" s="2196">
        <f>'[1]PRIH REBALANS'!$AK$286</f>
        <v>50000</v>
      </c>
      <c r="R39" s="2206"/>
      <c r="S39" s="2196"/>
      <c r="T39" s="962"/>
      <c r="U39" s="961">
        <f t="shared" si="3"/>
        <v>0</v>
      </c>
      <c r="V39" s="962"/>
      <c r="W39" s="961">
        <f t="shared" si="0"/>
        <v>0</v>
      </c>
      <c r="X39" s="269">
        <f t="shared" si="7"/>
        <v>0</v>
      </c>
      <c r="Y39" s="269"/>
      <c r="Z39" s="269">
        <f t="shared" si="4"/>
        <v>-50000</v>
      </c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</row>
    <row r="40" spans="1:42" ht="41.25" hidden="1" customHeight="1">
      <c r="A40" s="20"/>
      <c r="B40" s="20"/>
      <c r="C40" s="20"/>
      <c r="D40" s="20"/>
      <c r="E40" s="284"/>
      <c r="F40" s="2856"/>
      <c r="G40" s="2779" t="s">
        <v>192</v>
      </c>
      <c r="H40" s="2642"/>
      <c r="I40" s="2643"/>
      <c r="J40" s="2644"/>
      <c r="K40" s="2857"/>
      <c r="L40" s="2699"/>
      <c r="M40" s="2700"/>
      <c r="N40" s="2704"/>
      <c r="O40" s="2858"/>
      <c r="P40" s="2799" t="e">
        <f t="shared" si="5"/>
        <v>#DIV/0!</v>
      </c>
      <c r="Q40" s="2196"/>
      <c r="R40" s="2206"/>
      <c r="S40" s="2196"/>
      <c r="T40" s="962"/>
      <c r="U40" s="961">
        <f t="shared" si="3"/>
        <v>0</v>
      </c>
      <c r="V40" s="962"/>
      <c r="W40" s="961">
        <f t="shared" si="0"/>
        <v>0</v>
      </c>
      <c r="X40" s="269">
        <f t="shared" si="7"/>
        <v>0</v>
      </c>
      <c r="Y40" s="269"/>
      <c r="Z40" s="269">
        <f t="shared" si="4"/>
        <v>0</v>
      </c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</row>
    <row r="41" spans="1:42" ht="41.25" customHeight="1">
      <c r="A41" s="7"/>
      <c r="B41" s="7"/>
      <c r="C41" s="7"/>
      <c r="D41" s="7"/>
      <c r="E41" s="282"/>
      <c r="F41" s="2859"/>
      <c r="G41" s="2860" t="s">
        <v>193</v>
      </c>
      <c r="H41" s="2746">
        <f>SUM(H42:H44)</f>
        <v>1247000</v>
      </c>
      <c r="I41" s="2744">
        <f>SUM(I42:I44)-I44</f>
        <v>13272011</v>
      </c>
      <c r="J41" s="2745">
        <f>SUM(J42:J44)-J44</f>
        <v>4783567</v>
      </c>
      <c r="K41" s="2765">
        <f>SUM(K42:K44)-K44</f>
        <v>19302578</v>
      </c>
      <c r="L41" s="2861">
        <f>SUM(L42:L44)</f>
        <v>1060000</v>
      </c>
      <c r="M41" s="2862">
        <f>SUM(M42:M44)-M44</f>
        <v>9591667</v>
      </c>
      <c r="N41" s="2863">
        <f>SUM(N42:N44)-N44</f>
        <v>837860</v>
      </c>
      <c r="O41" s="2769">
        <f>SUM(O42:O44)-O44</f>
        <v>11489527</v>
      </c>
      <c r="P41" s="2788">
        <f t="shared" si="5"/>
        <v>59.523277149819052</v>
      </c>
      <c r="Q41" s="2195">
        <f>'[1]PRIH REBALANS'!$AK$288</f>
        <v>11489527</v>
      </c>
      <c r="R41" s="2205"/>
      <c r="S41" s="2195"/>
      <c r="T41" s="961">
        <f>-K44</f>
        <v>-17802231</v>
      </c>
      <c r="U41" s="961">
        <f>K41</f>
        <v>19302578</v>
      </c>
      <c r="V41" s="961">
        <f>SUM(H41:J41)</f>
        <v>19302578</v>
      </c>
      <c r="W41" s="961">
        <f t="shared" si="0"/>
        <v>0</v>
      </c>
      <c r="X41" s="269">
        <f>'[2]PRIH REBALANS'!$AK$308</f>
        <v>37124809.090000004</v>
      </c>
      <c r="Y41" s="269">
        <f>I41+J41</f>
        <v>18055578</v>
      </c>
      <c r="Z41" s="269">
        <f t="shared" si="4"/>
        <v>-1247000</v>
      </c>
      <c r="AA41" s="269"/>
      <c r="AB41" s="269"/>
      <c r="AC41" s="269"/>
      <c r="AD41" s="269">
        <f>'[2]PRIH REBALANS'!$AK$307</f>
        <v>59609907</v>
      </c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</row>
    <row r="42" spans="1:42" ht="41.25" customHeight="1">
      <c r="A42" s="7"/>
      <c r="B42" s="7"/>
      <c r="C42" s="7"/>
      <c r="D42" s="7"/>
      <c r="E42" s="282"/>
      <c r="F42" s="2828">
        <v>823000</v>
      </c>
      <c r="G42" s="2838" t="s">
        <v>194</v>
      </c>
      <c r="H42" s="2642"/>
      <c r="I42" s="2643">
        <v>1900000</v>
      </c>
      <c r="J42" s="2644"/>
      <c r="K42" s="2857">
        <f>SUM(H42:J42)</f>
        <v>1900000</v>
      </c>
      <c r="L42" s="2699">
        <v>150000</v>
      </c>
      <c r="M42" s="2700">
        <v>2000000</v>
      </c>
      <c r="N42" s="2704"/>
      <c r="O42" s="2858">
        <f>SUM(L42:N42)</f>
        <v>2150000</v>
      </c>
      <c r="P42" s="2799">
        <f t="shared" si="5"/>
        <v>113.1578947368421</v>
      </c>
      <c r="Q42" s="2196">
        <f>'[1]PRIH REBALANS'!$AK$289</f>
        <v>2150000</v>
      </c>
      <c r="R42" s="2206"/>
      <c r="S42" s="2196"/>
      <c r="T42" s="962"/>
      <c r="U42" s="961">
        <f t="shared" si="3"/>
        <v>0</v>
      </c>
      <c r="V42" s="962"/>
      <c r="W42" s="961">
        <f t="shared" si="0"/>
        <v>0</v>
      </c>
      <c r="X42" s="269"/>
      <c r="Y42" s="269">
        <f>'[2]PRIH REBALANS'!$AH$309</f>
        <v>1900000</v>
      </c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</row>
    <row r="43" spans="1:42" ht="41.25" customHeight="1">
      <c r="A43" s="7"/>
      <c r="B43" s="7"/>
      <c r="C43" s="7"/>
      <c r="D43" s="7"/>
      <c r="E43" s="282"/>
      <c r="F43" s="2828" t="s">
        <v>195</v>
      </c>
      <c r="G43" s="2827" t="s">
        <v>196</v>
      </c>
      <c r="H43" s="2652">
        <v>1247000</v>
      </c>
      <c r="I43" s="2649">
        <v>11372011</v>
      </c>
      <c r="J43" s="2654">
        <v>4783567</v>
      </c>
      <c r="K43" s="2857">
        <f t="shared" ref="K43:K44" si="20">SUM(H43:J43)</f>
        <v>17402578</v>
      </c>
      <c r="L43" s="2864">
        <v>910000</v>
      </c>
      <c r="M43" s="2865">
        <v>7591667</v>
      </c>
      <c r="N43" s="2866">
        <v>837860</v>
      </c>
      <c r="O43" s="2858">
        <f t="shared" ref="O43:O44" si="21">SUM(L43:N43)</f>
        <v>9339527</v>
      </c>
      <c r="P43" s="2799">
        <f t="shared" si="5"/>
        <v>53.667491103904261</v>
      </c>
      <c r="Q43" s="2196">
        <f>'[1]PRIH REBALANS'!$AK$290</f>
        <v>9339527</v>
      </c>
      <c r="R43" s="2206">
        <f>'[1]PRIH REBALANS'!$AH$290</f>
        <v>7591667</v>
      </c>
      <c r="S43" s="2196">
        <f>'[1]PRIH REBALANS'!$AH$290</f>
        <v>7591667</v>
      </c>
      <c r="T43" s="962"/>
      <c r="U43" s="961">
        <f>'[3]PRIH REBALANS'!$AG$310</f>
        <v>1247000</v>
      </c>
      <c r="V43" s="962"/>
      <c r="W43" s="961">
        <f t="shared" si="0"/>
        <v>0</v>
      </c>
      <c r="X43" s="269">
        <f>'[3]PRIH REBALANS'!$AK$310</f>
        <v>17402578</v>
      </c>
      <c r="Y43" s="269">
        <f>'[2]PRIH REBALANS'!$AH$310</f>
        <v>11508011</v>
      </c>
      <c r="Z43" s="269">
        <f>'[2]PRIH REBALANS'!$AJ$310</f>
        <v>4783567</v>
      </c>
      <c r="AA43" s="269"/>
      <c r="AB43" s="269">
        <f>'[2]PRIH REBALANS'!$AH$310</f>
        <v>11508011</v>
      </c>
      <c r="AC43" s="269"/>
      <c r="AD43" s="269">
        <f>'[2]PRIH REBALANS'!$AG$310</f>
        <v>1151000</v>
      </c>
      <c r="AE43" s="269">
        <f>'[2]PRIH REBALANS'!$AH$310</f>
        <v>11508011</v>
      </c>
      <c r="AF43" s="269">
        <f>'[2]PRIH REBALANS'!$AJ$310</f>
        <v>4783567</v>
      </c>
      <c r="AG43" s="269"/>
      <c r="AH43" s="269"/>
      <c r="AI43" s="269"/>
      <c r="AJ43" s="269"/>
      <c r="AK43" s="269"/>
      <c r="AL43" s="269"/>
      <c r="AM43" s="269"/>
      <c r="AN43" s="269"/>
      <c r="AO43" s="269"/>
      <c r="AP43" s="209">
        <f>'[4]BUDŽET 2021'!$N$291</f>
        <v>14791595</v>
      </c>
    </row>
    <row r="44" spans="1:42" ht="41.25" customHeight="1">
      <c r="A44" s="7"/>
      <c r="B44" s="7"/>
      <c r="C44" s="7"/>
      <c r="D44" s="7"/>
      <c r="E44" s="282"/>
      <c r="F44" s="2828" t="s">
        <v>195</v>
      </c>
      <c r="G44" s="2827" t="s">
        <v>1510</v>
      </c>
      <c r="H44" s="2652"/>
      <c r="I44" s="2649">
        <v>14705704</v>
      </c>
      <c r="J44" s="2654">
        <v>3096527</v>
      </c>
      <c r="K44" s="2857">
        <f t="shared" si="20"/>
        <v>17802231</v>
      </c>
      <c r="L44" s="2864"/>
      <c r="M44" s="2865"/>
      <c r="N44" s="2866"/>
      <c r="O44" s="2858">
        <f t="shared" si="21"/>
        <v>0</v>
      </c>
      <c r="P44" s="2810">
        <f t="shared" si="5"/>
        <v>0</v>
      </c>
      <c r="Q44" s="2197"/>
      <c r="R44" s="2207"/>
      <c r="S44" s="2197"/>
      <c r="T44" s="962"/>
      <c r="U44" s="961">
        <f t="shared" si="3"/>
        <v>0</v>
      </c>
      <c r="V44" s="962"/>
      <c r="W44" s="961">
        <f t="shared" si="0"/>
        <v>0</v>
      </c>
      <c r="X44" s="269">
        <f>'[2]PRIH REBALANS'!$AG$310</f>
        <v>1151000</v>
      </c>
      <c r="Y44" s="269">
        <f>'[2]PRIH REBALANS'!$AI$311</f>
        <v>17782231.09</v>
      </c>
      <c r="Z44" s="269">
        <f>'[2]PRIH REBALANS'!$AI$311</f>
        <v>17782231.09</v>
      </c>
      <c r="AA44" s="269"/>
      <c r="AB44" s="269"/>
      <c r="AC44" s="269"/>
      <c r="AD44" s="269"/>
      <c r="AE44" s="269">
        <f>'[2]PRIH REBALANS'!$AI$311</f>
        <v>17782231.09</v>
      </c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</row>
    <row r="45" spans="1:42" ht="41.25" customHeight="1">
      <c r="A45" s="20"/>
      <c r="B45" s="20"/>
      <c r="C45" s="20"/>
      <c r="D45" s="20"/>
      <c r="E45" s="284"/>
      <c r="F45" s="2867"/>
      <c r="G45" s="2868" t="s">
        <v>1498</v>
      </c>
      <c r="H45" s="2746">
        <v>50927810</v>
      </c>
      <c r="I45" s="2744">
        <f>SUM(I6+I41)-I16-I18-I20-I23-I26-I29-I32-I34-I37-I44</f>
        <v>3766164</v>
      </c>
      <c r="J45" s="2745">
        <f>SUM(J6+J41)-J16-J18-J20-J23-J26-J29-J32-J34-J37-J44</f>
        <v>3539813</v>
      </c>
      <c r="K45" s="2608">
        <f>SUM(K6+K41)</f>
        <v>79023485</v>
      </c>
      <c r="L45" s="2861">
        <f>SUM(L6+L41)-L16-L18-L20-L23-L26-L29-L32-L34-L37-L44</f>
        <v>45488110</v>
      </c>
      <c r="M45" s="2862">
        <f>SUM(M6+M41)-M16-M18-M20-M23-M26-M29-M32-M34-M37-M44</f>
        <v>13789967</v>
      </c>
      <c r="N45" s="2863">
        <f>SUM(N6+N41)-N16-N18-N20-N23-N26-N29-N32-N34-N37-N44</f>
        <v>1772311</v>
      </c>
      <c r="O45" s="2869">
        <f>SUM(O6+O41)</f>
        <v>61050388</v>
      </c>
      <c r="P45" s="2870">
        <f t="shared" si="5"/>
        <v>77.256005603903702</v>
      </c>
      <c r="Q45" s="2198"/>
      <c r="R45" s="2208">
        <f>'[1]PRIH REBALANS'!$AK$1153</f>
        <v>61050388</v>
      </c>
      <c r="S45" s="2198"/>
      <c r="T45" s="961"/>
      <c r="U45" s="961">
        <f>H45+I45+J45</f>
        <v>58233787</v>
      </c>
      <c r="V45" s="961">
        <f>'[3]PRIH REBALANS'!$AG$1165+'[3]PRIH REBALANS'!$AH$1165+'[3]PRIH REBALANS'!$AJ$1165</f>
        <v>76036018</v>
      </c>
      <c r="W45" s="961">
        <f t="shared" si="0"/>
        <v>-20789698</v>
      </c>
      <c r="X45" s="269">
        <f>H45+I45+J45</f>
        <v>58233787</v>
      </c>
      <c r="Y45" s="269">
        <f>'[2]PRIH REBALANS'!$AG$312+'[2]PRIH REBALANS'!$AH$312+'[2]PRIH REBALANS'!$AJ$312</f>
        <v>75945018</v>
      </c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</row>
    <row r="46" spans="1:42" ht="36.75" customHeight="1">
      <c r="F46" s="2871"/>
      <c r="G46" s="2872" t="s">
        <v>1499</v>
      </c>
      <c r="H46" s="2873"/>
      <c r="I46" s="2785">
        <v>14705704</v>
      </c>
      <c r="J46" s="2786">
        <v>3096527</v>
      </c>
      <c r="K46" s="2874">
        <f>SUM(I46:J46)</f>
        <v>17802231</v>
      </c>
      <c r="L46" s="2873"/>
      <c r="M46" s="2785"/>
      <c r="N46" s="2786"/>
      <c r="O46" s="2874"/>
      <c r="P46" s="2870">
        <f t="shared" si="5"/>
        <v>0</v>
      </c>
      <c r="Q46" s="2198"/>
      <c r="R46" s="2208">
        <f>R45-O45</f>
        <v>0</v>
      </c>
      <c r="S46" s="2198"/>
      <c r="T46" s="963"/>
      <c r="U46" s="961">
        <f t="shared" si="3"/>
        <v>0</v>
      </c>
      <c r="V46" s="963"/>
      <c r="W46" s="961">
        <f t="shared" si="0"/>
        <v>0</v>
      </c>
      <c r="X46" s="269">
        <f>'[2]PRIH REBALANS'!$AI$312</f>
        <v>20789698.09</v>
      </c>
      <c r="Y46" s="30">
        <f>X46-I46-J46</f>
        <v>2987467.09</v>
      </c>
      <c r="Z46" s="269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</row>
    <row r="47" spans="1:42" ht="36.75" customHeight="1" thickBot="1">
      <c r="F47" s="2875"/>
      <c r="G47" s="2876" t="s">
        <v>1500</v>
      </c>
      <c r="H47" s="2877">
        <f t="shared" ref="H47:K47" si="22">H45+H46</f>
        <v>50927810</v>
      </c>
      <c r="I47" s="2878">
        <f t="shared" si="22"/>
        <v>18471868</v>
      </c>
      <c r="J47" s="2879">
        <f t="shared" si="22"/>
        <v>6636340</v>
      </c>
      <c r="K47" s="2880">
        <f t="shared" si="22"/>
        <v>96825716</v>
      </c>
      <c r="L47" s="2877"/>
      <c r="M47" s="2878"/>
      <c r="N47" s="2879"/>
      <c r="O47" s="2880"/>
      <c r="P47" s="2870">
        <f t="shared" si="5"/>
        <v>0</v>
      </c>
      <c r="Q47" s="2198"/>
      <c r="R47" s="2208"/>
      <c r="S47" s="2198"/>
      <c r="T47" s="963"/>
      <c r="U47" s="961">
        <f t="shared" si="3"/>
        <v>-20789698</v>
      </c>
      <c r="V47" s="963"/>
      <c r="W47" s="961">
        <f>H47+I47+J47-K47</f>
        <v>-20789698</v>
      </c>
      <c r="X47" s="269"/>
      <c r="Y47" s="30">
        <f>'[3]PRIH REBALANS'!$AG$310</f>
        <v>1247000</v>
      </c>
      <c r="Z47" s="269">
        <f>'[3]PRIH REBALANS'!$AH$310</f>
        <v>11372011</v>
      </c>
      <c r="AA47" s="30">
        <f>'[3]PRIH REBALANS'!$AI$311</f>
        <v>14429074.15</v>
      </c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</row>
    <row r="48" spans="1:42" ht="20.25" thickTop="1">
      <c r="F48" s="2881" t="s">
        <v>793</v>
      </c>
      <c r="H48" s="334"/>
      <c r="I48" s="334"/>
      <c r="J48" s="334"/>
      <c r="K48" s="336"/>
      <c r="L48" s="2882"/>
      <c r="M48" s="2882"/>
      <c r="N48" s="2882"/>
      <c r="O48" s="2882"/>
      <c r="P48" s="2764"/>
      <c r="Q48" s="1737"/>
      <c r="R48" s="2202"/>
      <c r="S48" s="1737"/>
      <c r="T48" s="339"/>
      <c r="U48" s="961">
        <f t="shared" si="3"/>
        <v>0</v>
      </c>
      <c r="V48" s="339"/>
      <c r="W48" s="961">
        <f t="shared" ref="W48" si="23">V48-K48</f>
        <v>0</v>
      </c>
      <c r="X48" s="269">
        <f t="shared" ref="X48" si="24">H48+I48+J48-K48</f>
        <v>0</v>
      </c>
      <c r="Y48" s="30"/>
      <c r="Z48" s="269">
        <f t="shared" si="4"/>
        <v>0</v>
      </c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</row>
    <row r="49" spans="8:41">
      <c r="H49" s="274"/>
      <c r="I49" s="274"/>
      <c r="J49" s="274"/>
      <c r="K49" s="274"/>
      <c r="L49" s="2883"/>
      <c r="M49" s="2883"/>
      <c r="N49" s="2883"/>
      <c r="O49" s="2883"/>
      <c r="V49" s="209">
        <f>SUM(K6,K41,K43,K42)</f>
        <v>98326063</v>
      </c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</row>
    <row r="50" spans="8:41" ht="8.4499999999999993" hidden="1" customHeight="1" thickBot="1"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</row>
    <row r="51" spans="8:41" ht="8.4499999999999993" hidden="1" customHeight="1"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</row>
    <row r="52" spans="8:41" ht="8.4499999999999993" hidden="1" customHeight="1"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</row>
    <row r="53" spans="8:41" ht="8.4499999999999993" hidden="1" customHeight="1"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</row>
    <row r="54" spans="8:41" ht="8.4499999999999993" hidden="1" customHeight="1"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</row>
    <row r="55" spans="8:41" ht="8.4499999999999993" hidden="1" customHeight="1"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</row>
    <row r="56" spans="8:41" ht="8.4499999999999993" hidden="1" customHeight="1"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</row>
    <row r="57" spans="8:41" ht="8.4499999999999993" hidden="1" customHeight="1"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</row>
    <row r="58" spans="8:41" ht="8.4499999999999993" hidden="1" customHeight="1"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</row>
    <row r="59" spans="8:41" ht="8.4499999999999993" hidden="1" customHeight="1"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</row>
    <row r="60" spans="8:41" ht="8.4499999999999993" hidden="1" customHeight="1"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</row>
    <row r="61" spans="8:41" ht="8.4499999999999993" hidden="1" customHeight="1"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</row>
    <row r="62" spans="8:41" ht="8.4499999999999993" hidden="1" customHeight="1"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</row>
    <row r="63" spans="8:41" ht="8.4499999999999993" hidden="1" customHeight="1">
      <c r="X63" s="265"/>
      <c r="Y63" s="582"/>
      <c r="Z63" s="582"/>
      <c r="AA63" s="582"/>
      <c r="AB63" s="582"/>
      <c r="AC63" s="582"/>
      <c r="AD63" s="265"/>
      <c r="AE63" s="265"/>
      <c r="AF63" s="265"/>
      <c r="AG63" s="265"/>
      <c r="AH63" s="265"/>
      <c r="AI63" s="265"/>
      <c r="AJ63" s="265"/>
      <c r="AK63" s="265"/>
      <c r="AL63" s="265"/>
      <c r="AM63" s="265"/>
      <c r="AN63" s="265"/>
      <c r="AO63" s="265"/>
    </row>
    <row r="64" spans="8:41" ht="8.4499999999999993" hidden="1" customHeight="1">
      <c r="X64" s="266"/>
      <c r="Y64" s="583"/>
      <c r="Z64" s="583"/>
      <c r="AA64" s="583"/>
      <c r="AB64" s="583"/>
      <c r="AC64" s="583"/>
      <c r="AD64" s="266"/>
      <c r="AE64" s="266"/>
      <c r="AF64" s="266"/>
      <c r="AG64" s="266"/>
      <c r="AH64" s="266"/>
      <c r="AI64" s="266"/>
      <c r="AJ64" s="266"/>
      <c r="AK64" s="266"/>
      <c r="AL64" s="266"/>
      <c r="AM64" s="266"/>
      <c r="AN64" s="266"/>
      <c r="AO64" s="266"/>
    </row>
    <row r="65" spans="24:41" ht="8.4499999999999993" hidden="1" customHeight="1"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</row>
    <row r="66" spans="24:41" ht="8.4499999999999993" hidden="1" customHeight="1"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</row>
    <row r="67" spans="24:41" ht="8.4499999999999993" hidden="1" customHeight="1"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</row>
    <row r="68" spans="24:41" ht="8.4499999999999993" hidden="1" customHeight="1"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268"/>
    </row>
    <row r="69" spans="24:41" ht="8.4499999999999993" hidden="1" customHeight="1"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</row>
    <row r="70" spans="24:41" ht="8.4499999999999993" hidden="1" customHeight="1"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</row>
    <row r="71" spans="24:41" ht="8.4499999999999993" hidden="1" customHeight="1"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</row>
    <row r="72" spans="24:41" ht="8.4499999999999993" hidden="1" customHeight="1"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69"/>
      <c r="AO72" s="269"/>
    </row>
    <row r="73" spans="24:41" ht="8.4499999999999993" hidden="1" customHeight="1"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</row>
    <row r="74" spans="24:41" ht="8.4499999999999993" hidden="1" customHeight="1"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</row>
    <row r="75" spans="24:41" ht="8.4499999999999993" hidden="1" customHeight="1"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69"/>
    </row>
    <row r="76" spans="24:41" ht="8.4499999999999993" hidden="1" customHeight="1"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269"/>
      <c r="AL76" s="269"/>
      <c r="AM76" s="269"/>
      <c r="AN76" s="269"/>
      <c r="AO76" s="269"/>
    </row>
    <row r="77" spans="24:41" ht="8.4499999999999993" hidden="1" customHeight="1"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</row>
    <row r="78" spans="24:41" ht="8.4499999999999993" hidden="1" customHeight="1">
      <c r="X78" s="269"/>
      <c r="Y78" s="269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  <c r="AK78" s="269"/>
      <c r="AL78" s="269"/>
      <c r="AM78" s="269"/>
      <c r="AN78" s="269"/>
      <c r="AO78" s="269"/>
    </row>
    <row r="79" spans="24:41" ht="8.4499999999999993" hidden="1" customHeight="1"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</row>
    <row r="80" spans="24:41" ht="8.4499999999999993" hidden="1" customHeight="1"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</row>
    <row r="81" spans="24:41" ht="8.4499999999999993" hidden="1" customHeight="1"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</row>
    <row r="82" spans="24:41" ht="8.4499999999999993" hidden="1" customHeight="1"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</row>
    <row r="83" spans="24:41" ht="8.4499999999999993" hidden="1" customHeight="1"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</row>
    <row r="84" spans="24:41" ht="8.4499999999999993" hidden="1" customHeight="1">
      <c r="X84" s="269"/>
      <c r="Y84" s="269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  <c r="AK84" s="269"/>
      <c r="AL84" s="269"/>
      <c r="AM84" s="269"/>
      <c r="AN84" s="269"/>
      <c r="AO84" s="269"/>
    </row>
    <row r="85" spans="24:41" ht="8.4499999999999993" hidden="1" customHeight="1"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</row>
    <row r="86" spans="24:41" ht="8.4499999999999993" hidden="1" customHeight="1"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69"/>
    </row>
    <row r="87" spans="24:41" ht="8.4499999999999993" hidden="1" customHeight="1">
      <c r="X87" s="269"/>
      <c r="Y87" s="269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  <c r="AK87" s="269"/>
      <c r="AL87" s="269"/>
      <c r="AM87" s="269"/>
      <c r="AN87" s="269"/>
      <c r="AO87" s="269"/>
    </row>
    <row r="88" spans="24:41" ht="8.4499999999999993" hidden="1" customHeight="1">
      <c r="X88" s="269"/>
      <c r="Y88" s="269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269"/>
      <c r="AL88" s="269"/>
      <c r="AM88" s="269"/>
      <c r="AN88" s="269"/>
      <c r="AO88" s="269"/>
    </row>
    <row r="89" spans="24:41" ht="8.4499999999999993" hidden="1" customHeight="1">
      <c r="X89" s="269"/>
      <c r="Y89" s="269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269"/>
      <c r="AL89" s="269"/>
      <c r="AM89" s="269"/>
      <c r="AN89" s="269"/>
      <c r="AO89" s="269"/>
    </row>
    <row r="90" spans="24:41" ht="8.4499999999999993" hidden="1" customHeight="1"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</row>
    <row r="91" spans="24:41" ht="8.4499999999999993" hidden="1" customHeight="1"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</row>
    <row r="92" spans="24:41" ht="8.4499999999999993" hidden="1" customHeight="1"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</row>
    <row r="93" spans="24:41" ht="8.4499999999999993" hidden="1" customHeight="1">
      <c r="X93" s="269"/>
      <c r="Y93" s="269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  <c r="AK93" s="269"/>
      <c r="AL93" s="269"/>
      <c r="AM93" s="269"/>
      <c r="AN93" s="269"/>
      <c r="AO93" s="269"/>
    </row>
    <row r="94" spans="24:41" ht="8.4499999999999993" hidden="1" customHeight="1"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</row>
    <row r="95" spans="24:41" ht="8.4499999999999993" hidden="1" customHeight="1"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</row>
    <row r="96" spans="24:41" ht="8.4499999999999993" hidden="1" customHeight="1"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</row>
    <row r="97" spans="24:41" ht="8.4499999999999993" hidden="1" customHeight="1"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</row>
    <row r="98" spans="24:41" ht="8.4499999999999993" hidden="1" customHeight="1"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</row>
    <row r="99" spans="24:41" ht="8.4499999999999993" hidden="1" customHeight="1">
      <c r="X99" s="269"/>
      <c r="Y99" s="269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  <c r="AK99" s="269"/>
      <c r="AL99" s="269"/>
      <c r="AM99" s="269"/>
      <c r="AN99" s="269"/>
      <c r="AO99" s="269"/>
    </row>
    <row r="100" spans="24:41" ht="8.4499999999999993" hidden="1" customHeight="1"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</row>
    <row r="101" spans="24:41" ht="8.4499999999999993" hidden="1" customHeight="1"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</row>
    <row r="102" spans="24:41" ht="8.4499999999999993" hidden="1" customHeight="1"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</row>
    <row r="103" spans="24:41" ht="8.4499999999999993" hidden="1" customHeight="1"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</row>
    <row r="104" spans="24:41" ht="8.4499999999999993" hidden="1" customHeight="1"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</row>
    <row r="105" spans="24:41" ht="8.4499999999999993" hidden="1" customHeight="1"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</row>
    <row r="106" spans="24:41" ht="8.4499999999999993" hidden="1" customHeight="1">
      <c r="X106" s="269"/>
      <c r="Y106" s="269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  <c r="AK106" s="269"/>
      <c r="AL106" s="269"/>
      <c r="AM106" s="269"/>
      <c r="AN106" s="269"/>
      <c r="AO106" s="269"/>
    </row>
    <row r="107" spans="24:41" ht="8.4499999999999993" hidden="1" customHeight="1">
      <c r="X107" s="269"/>
      <c r="Y107" s="269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  <c r="AK107" s="269"/>
      <c r="AL107" s="269"/>
      <c r="AM107" s="269"/>
      <c r="AN107" s="269"/>
      <c r="AO107" s="269"/>
    </row>
    <row r="108" spans="24:41" ht="8.4499999999999993" hidden="1" customHeight="1">
      <c r="X108" s="269"/>
      <c r="Y108" s="269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  <c r="AK108" s="269"/>
      <c r="AL108" s="269"/>
      <c r="AM108" s="269"/>
      <c r="AN108" s="269"/>
      <c r="AO108" s="269"/>
    </row>
    <row r="109" spans="24:41" ht="8.4499999999999993" hidden="1" customHeight="1">
      <c r="X109" s="269"/>
      <c r="Y109" s="269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  <c r="AK109" s="269"/>
      <c r="AL109" s="269"/>
      <c r="AM109" s="269"/>
      <c r="AN109" s="269"/>
      <c r="AO109" s="269"/>
    </row>
    <row r="110" spans="24:41" ht="8.4499999999999993" hidden="1" customHeight="1">
      <c r="X110" s="269"/>
      <c r="Y110" s="269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  <c r="AK110" s="269"/>
      <c r="AL110" s="269"/>
      <c r="AM110" s="269"/>
      <c r="AN110" s="269"/>
      <c r="AO110" s="269"/>
    </row>
    <row r="111" spans="24:41" ht="8.4499999999999993" hidden="1" customHeight="1">
      <c r="X111" s="269"/>
      <c r="Y111" s="269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  <c r="AK111" s="269"/>
      <c r="AL111" s="269"/>
      <c r="AM111" s="269"/>
      <c r="AN111" s="269"/>
      <c r="AO111" s="269"/>
    </row>
    <row r="112" spans="24:41" ht="8.4499999999999993" hidden="1" customHeight="1">
      <c r="X112" s="269"/>
      <c r="Y112" s="269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  <c r="AK112" s="269"/>
      <c r="AL112" s="269"/>
      <c r="AM112" s="269"/>
      <c r="AN112" s="269"/>
      <c r="AO112" s="269"/>
    </row>
    <row r="113" spans="24:41" ht="8.4499999999999993" hidden="1" customHeight="1"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</row>
    <row r="114" spans="24:41" ht="8.4499999999999993" hidden="1" customHeight="1"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  <c r="AK114" s="259"/>
      <c r="AL114" s="259"/>
      <c r="AM114" s="259"/>
      <c r="AN114" s="259"/>
      <c r="AO114" s="259"/>
    </row>
    <row r="115" spans="24:41" ht="8.4499999999999993" hidden="1" customHeight="1">
      <c r="X115" s="269"/>
      <c r="Y115" s="269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  <c r="AK115" s="269"/>
      <c r="AL115" s="269"/>
      <c r="AM115" s="269"/>
      <c r="AN115" s="269"/>
      <c r="AO115" s="269"/>
    </row>
    <row r="116" spans="24:41" ht="8.4499999999999993" hidden="1" customHeight="1">
      <c r="X116" s="269"/>
      <c r="Y116" s="269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  <c r="AK116" s="269"/>
      <c r="AL116" s="269"/>
      <c r="AM116" s="269"/>
      <c r="AN116" s="269"/>
      <c r="AO116" s="269"/>
    </row>
    <row r="117" spans="24:41" ht="8.4499999999999993" hidden="1" customHeight="1">
      <c r="X117" s="269"/>
      <c r="Y117" s="269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  <c r="AK117" s="269"/>
      <c r="AL117" s="269"/>
      <c r="AM117" s="269"/>
      <c r="AN117" s="269"/>
      <c r="AO117" s="269"/>
    </row>
    <row r="118" spans="24:41" ht="8.4499999999999993" hidden="1" customHeight="1">
      <c r="X118" s="269"/>
      <c r="Y118" s="269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  <c r="AK118" s="269"/>
      <c r="AL118" s="269"/>
      <c r="AM118" s="269"/>
      <c r="AN118" s="269"/>
      <c r="AO118" s="269"/>
    </row>
    <row r="119" spans="24:41" ht="8.4499999999999993" hidden="1" customHeight="1">
      <c r="X119" s="269"/>
      <c r="Y119" s="269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  <c r="AK119" s="269"/>
      <c r="AL119" s="269"/>
      <c r="AM119" s="269"/>
      <c r="AN119" s="269"/>
      <c r="AO119" s="269"/>
    </row>
    <row r="120" spans="24:41" ht="8.4499999999999993" hidden="1" customHeight="1">
      <c r="X120" s="269"/>
      <c r="Y120" s="269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  <c r="AK120" s="269"/>
      <c r="AL120" s="269"/>
      <c r="AM120" s="269"/>
      <c r="AN120" s="269"/>
      <c r="AO120" s="269"/>
    </row>
    <row r="121" spans="24:41" ht="8.4499999999999993" hidden="1" customHeight="1">
      <c r="X121" s="269"/>
      <c r="Y121" s="269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  <c r="AK121" s="269"/>
      <c r="AL121" s="269"/>
      <c r="AM121" s="269"/>
      <c r="AN121" s="269"/>
      <c r="AO121" s="269"/>
    </row>
    <row r="122" spans="24:41" ht="8.4499999999999993" hidden="1" customHeight="1">
      <c r="X122" s="269"/>
      <c r="Y122" s="269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  <c r="AK122" s="269"/>
      <c r="AL122" s="269"/>
      <c r="AM122" s="269"/>
      <c r="AN122" s="269"/>
      <c r="AO122" s="269"/>
    </row>
    <row r="123" spans="24:41" ht="8.4499999999999993" hidden="1" customHeight="1">
      <c r="X123" s="269"/>
      <c r="Y123" s="269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  <c r="AK123" s="269"/>
      <c r="AL123" s="269"/>
      <c r="AM123" s="269"/>
      <c r="AN123" s="269"/>
      <c r="AO123" s="269"/>
    </row>
    <row r="124" spans="24:41" ht="8.4499999999999993" hidden="1" customHeight="1">
      <c r="X124" s="269"/>
      <c r="Y124" s="269"/>
      <c r="Z124" s="269"/>
      <c r="AA124" s="269"/>
      <c r="AB124" s="269"/>
      <c r="AC124" s="269"/>
      <c r="AD124" s="269"/>
      <c r="AE124" s="269"/>
      <c r="AF124" s="269"/>
      <c r="AG124" s="269"/>
      <c r="AH124" s="269"/>
      <c r="AI124" s="269"/>
      <c r="AJ124" s="269"/>
      <c r="AK124" s="269"/>
      <c r="AL124" s="269"/>
      <c r="AM124" s="269"/>
      <c r="AN124" s="269"/>
      <c r="AO124" s="269"/>
    </row>
    <row r="125" spans="24:41" ht="8.4499999999999993" hidden="1" customHeight="1">
      <c r="X125" s="269"/>
      <c r="Y125" s="269"/>
      <c r="Z125" s="269"/>
      <c r="AA125" s="269"/>
      <c r="AB125" s="269"/>
      <c r="AC125" s="269"/>
      <c r="AD125" s="269"/>
      <c r="AE125" s="269"/>
      <c r="AF125" s="269"/>
      <c r="AG125" s="269"/>
      <c r="AH125" s="269"/>
      <c r="AI125" s="269"/>
      <c r="AJ125" s="269"/>
      <c r="AK125" s="269"/>
      <c r="AL125" s="269"/>
      <c r="AM125" s="269"/>
      <c r="AN125" s="269"/>
      <c r="AO125" s="269"/>
    </row>
    <row r="126" spans="24:41" ht="8.4499999999999993" hidden="1" customHeight="1">
      <c r="X126" s="269"/>
      <c r="Y126" s="269"/>
      <c r="Z126" s="269"/>
      <c r="AA126" s="269"/>
      <c r="AB126" s="269"/>
      <c r="AC126" s="269"/>
      <c r="AD126" s="269"/>
      <c r="AE126" s="269"/>
      <c r="AF126" s="269"/>
      <c r="AG126" s="269"/>
      <c r="AH126" s="269"/>
      <c r="AI126" s="269"/>
      <c r="AJ126" s="269"/>
      <c r="AK126" s="269"/>
      <c r="AL126" s="269"/>
      <c r="AM126" s="269"/>
      <c r="AN126" s="269"/>
      <c r="AO126" s="269"/>
    </row>
    <row r="127" spans="24:41" ht="8.4499999999999993" hidden="1" customHeight="1">
      <c r="X127" s="269"/>
      <c r="Y127" s="269"/>
      <c r="Z127" s="269"/>
      <c r="AA127" s="269"/>
      <c r="AB127" s="269"/>
      <c r="AC127" s="269"/>
      <c r="AD127" s="269"/>
      <c r="AE127" s="269"/>
      <c r="AF127" s="269"/>
      <c r="AG127" s="269"/>
      <c r="AH127" s="269"/>
      <c r="AI127" s="269"/>
      <c r="AJ127" s="269"/>
      <c r="AK127" s="269"/>
      <c r="AL127" s="269"/>
      <c r="AM127" s="269"/>
      <c r="AN127" s="269"/>
      <c r="AO127" s="269"/>
    </row>
    <row r="128" spans="24:41" ht="8.4499999999999993" hidden="1" customHeight="1">
      <c r="X128" s="269"/>
      <c r="Y128" s="269"/>
      <c r="Z128" s="269"/>
      <c r="AA128" s="269"/>
      <c r="AB128" s="269"/>
      <c r="AC128" s="269"/>
      <c r="AD128" s="269"/>
      <c r="AE128" s="269"/>
      <c r="AF128" s="269"/>
      <c r="AG128" s="269"/>
      <c r="AH128" s="269"/>
      <c r="AI128" s="269"/>
      <c r="AJ128" s="269"/>
      <c r="AK128" s="269"/>
      <c r="AL128" s="269"/>
      <c r="AM128" s="269"/>
      <c r="AN128" s="269"/>
      <c r="AO128" s="269"/>
    </row>
    <row r="129" spans="24:41" ht="8.4499999999999993" hidden="1" customHeight="1">
      <c r="X129" s="269"/>
      <c r="Y129" s="269"/>
      <c r="Z129" s="269"/>
      <c r="AA129" s="269"/>
      <c r="AB129" s="269"/>
      <c r="AC129" s="269"/>
      <c r="AD129" s="269"/>
      <c r="AE129" s="269"/>
      <c r="AF129" s="269"/>
      <c r="AG129" s="269"/>
      <c r="AH129" s="269"/>
      <c r="AI129" s="269"/>
      <c r="AJ129" s="269"/>
      <c r="AK129" s="269"/>
      <c r="AL129" s="269"/>
      <c r="AM129" s="269"/>
      <c r="AN129" s="269"/>
      <c r="AO129" s="269"/>
    </row>
    <row r="130" spans="24:41" ht="8.4499999999999993" hidden="1" customHeight="1">
      <c r="X130" s="269"/>
      <c r="Y130" s="269"/>
      <c r="Z130" s="269"/>
      <c r="AA130" s="269"/>
      <c r="AB130" s="269"/>
      <c r="AC130" s="269"/>
      <c r="AD130" s="269"/>
      <c r="AE130" s="269"/>
      <c r="AF130" s="269"/>
      <c r="AG130" s="269"/>
      <c r="AH130" s="269"/>
      <c r="AI130" s="269"/>
      <c r="AJ130" s="269"/>
      <c r="AK130" s="269"/>
      <c r="AL130" s="269"/>
      <c r="AM130" s="269"/>
      <c r="AN130" s="269"/>
      <c r="AO130" s="269"/>
    </row>
    <row r="131" spans="24:41" ht="8.4499999999999993" hidden="1" customHeight="1">
      <c r="X131" s="269"/>
      <c r="Y131" s="269"/>
      <c r="Z131" s="269"/>
      <c r="AA131" s="269"/>
      <c r="AB131" s="269"/>
      <c r="AC131" s="269"/>
      <c r="AD131" s="269"/>
      <c r="AE131" s="269"/>
      <c r="AF131" s="269"/>
      <c r="AG131" s="269"/>
      <c r="AH131" s="269"/>
      <c r="AI131" s="269"/>
      <c r="AJ131" s="269"/>
      <c r="AK131" s="269"/>
      <c r="AL131" s="269"/>
      <c r="AM131" s="269"/>
      <c r="AN131" s="269"/>
      <c r="AO131" s="269"/>
    </row>
    <row r="132" spans="24:41" ht="8.4499999999999993" hidden="1" customHeight="1">
      <c r="X132" s="269"/>
      <c r="Y132" s="269"/>
      <c r="Z132" s="269"/>
      <c r="AA132" s="269"/>
      <c r="AB132" s="269"/>
      <c r="AC132" s="269"/>
      <c r="AD132" s="269"/>
      <c r="AE132" s="269"/>
      <c r="AF132" s="269"/>
      <c r="AG132" s="269"/>
      <c r="AH132" s="269"/>
      <c r="AI132" s="269"/>
      <c r="AJ132" s="269"/>
      <c r="AK132" s="269"/>
      <c r="AL132" s="269"/>
      <c r="AM132" s="269"/>
      <c r="AN132" s="269"/>
      <c r="AO132" s="269"/>
    </row>
    <row r="133" spans="24:41" ht="8.4499999999999993" hidden="1" customHeight="1">
      <c r="X133" s="269"/>
      <c r="Y133" s="269"/>
      <c r="Z133" s="269"/>
      <c r="AA133" s="269"/>
      <c r="AB133" s="269"/>
      <c r="AC133" s="269"/>
      <c r="AD133" s="269"/>
      <c r="AE133" s="269"/>
      <c r="AF133" s="269"/>
      <c r="AG133" s="269"/>
      <c r="AH133" s="269"/>
      <c r="AI133" s="269"/>
      <c r="AJ133" s="269"/>
      <c r="AK133" s="269"/>
      <c r="AL133" s="269"/>
      <c r="AM133" s="269"/>
      <c r="AN133" s="269"/>
      <c r="AO133" s="269"/>
    </row>
    <row r="134" spans="24:41" ht="8.4499999999999993" hidden="1" customHeight="1">
      <c r="X134" s="269"/>
      <c r="Y134" s="269"/>
      <c r="Z134" s="269"/>
      <c r="AA134" s="269"/>
      <c r="AB134" s="269"/>
      <c r="AC134" s="269"/>
      <c r="AD134" s="269"/>
      <c r="AE134" s="269"/>
      <c r="AF134" s="269"/>
      <c r="AG134" s="269"/>
      <c r="AH134" s="269"/>
      <c r="AI134" s="269"/>
      <c r="AJ134" s="269"/>
      <c r="AK134" s="269"/>
      <c r="AL134" s="269"/>
      <c r="AM134" s="269"/>
      <c r="AN134" s="269"/>
      <c r="AO134" s="269"/>
    </row>
    <row r="135" spans="24:41" ht="8.4499999999999993" hidden="1" customHeight="1">
      <c r="X135" s="269"/>
      <c r="Y135" s="269"/>
      <c r="Z135" s="269"/>
      <c r="AA135" s="269"/>
      <c r="AB135" s="269"/>
      <c r="AC135" s="269"/>
      <c r="AD135" s="269"/>
      <c r="AE135" s="269"/>
      <c r="AF135" s="269"/>
      <c r="AG135" s="269"/>
      <c r="AH135" s="269"/>
      <c r="AI135" s="269"/>
      <c r="AJ135" s="269"/>
      <c r="AK135" s="269"/>
      <c r="AL135" s="269"/>
      <c r="AM135" s="269"/>
      <c r="AN135" s="269"/>
      <c r="AO135" s="269"/>
    </row>
    <row r="136" spans="24:41" ht="8.4499999999999993" hidden="1" customHeight="1">
      <c r="X136" s="269"/>
      <c r="Y136" s="269"/>
      <c r="Z136" s="269"/>
      <c r="AA136" s="269"/>
      <c r="AB136" s="269"/>
      <c r="AC136" s="269"/>
      <c r="AD136" s="269"/>
      <c r="AE136" s="269"/>
      <c r="AF136" s="269"/>
      <c r="AG136" s="269"/>
      <c r="AH136" s="269"/>
      <c r="AI136" s="269"/>
      <c r="AJ136" s="269"/>
      <c r="AK136" s="269"/>
      <c r="AL136" s="269"/>
      <c r="AM136" s="269"/>
      <c r="AN136" s="269"/>
      <c r="AO136" s="269"/>
    </row>
    <row r="137" spans="24:41" ht="8.4499999999999993" hidden="1" customHeight="1">
      <c r="X137" s="269"/>
      <c r="Y137" s="269"/>
      <c r="Z137" s="269"/>
      <c r="AA137" s="269"/>
      <c r="AB137" s="269"/>
      <c r="AC137" s="269"/>
      <c r="AD137" s="269"/>
      <c r="AE137" s="269"/>
      <c r="AF137" s="269"/>
      <c r="AG137" s="269"/>
      <c r="AH137" s="269"/>
      <c r="AI137" s="269"/>
      <c r="AJ137" s="269"/>
      <c r="AK137" s="269"/>
      <c r="AL137" s="269"/>
      <c r="AM137" s="269"/>
      <c r="AN137" s="269"/>
      <c r="AO137" s="269"/>
    </row>
    <row r="138" spans="24:41" ht="8.4499999999999993" hidden="1" customHeight="1">
      <c r="X138" s="269"/>
      <c r="Y138" s="269"/>
      <c r="Z138" s="269"/>
      <c r="AA138" s="269"/>
      <c r="AB138" s="269"/>
      <c r="AC138" s="269"/>
      <c r="AD138" s="269"/>
      <c r="AE138" s="269"/>
      <c r="AF138" s="269"/>
      <c r="AG138" s="269"/>
      <c r="AH138" s="269"/>
      <c r="AI138" s="269"/>
      <c r="AJ138" s="269"/>
      <c r="AK138" s="269"/>
      <c r="AL138" s="269"/>
      <c r="AM138" s="269"/>
      <c r="AN138" s="269"/>
      <c r="AO138" s="269"/>
    </row>
    <row r="139" spans="24:41" ht="8.4499999999999993" hidden="1" customHeight="1">
      <c r="X139" s="269"/>
      <c r="Y139" s="269"/>
      <c r="Z139" s="269"/>
      <c r="AA139" s="269"/>
      <c r="AB139" s="269"/>
      <c r="AC139" s="269"/>
      <c r="AD139" s="269"/>
      <c r="AE139" s="269"/>
      <c r="AF139" s="269"/>
      <c r="AG139" s="269"/>
      <c r="AH139" s="269"/>
      <c r="AI139" s="269"/>
      <c r="AJ139" s="269"/>
      <c r="AK139" s="269"/>
      <c r="AL139" s="269"/>
      <c r="AM139" s="269"/>
      <c r="AN139" s="269"/>
      <c r="AO139" s="269"/>
    </row>
    <row r="140" spans="24:41" ht="8.4499999999999993" hidden="1" customHeight="1">
      <c r="X140" s="269"/>
      <c r="Y140" s="269"/>
      <c r="Z140" s="269"/>
      <c r="AA140" s="269"/>
      <c r="AB140" s="269"/>
      <c r="AC140" s="269"/>
      <c r="AD140" s="269"/>
      <c r="AE140" s="269"/>
      <c r="AF140" s="269"/>
      <c r="AG140" s="269"/>
      <c r="AH140" s="269"/>
      <c r="AI140" s="269"/>
      <c r="AJ140" s="269"/>
      <c r="AK140" s="269"/>
      <c r="AL140" s="269"/>
      <c r="AM140" s="269"/>
      <c r="AN140" s="269"/>
      <c r="AO140" s="269"/>
    </row>
    <row r="141" spans="24:41" ht="8.4499999999999993" hidden="1" customHeight="1">
      <c r="X141" s="269"/>
      <c r="Y141" s="269"/>
      <c r="Z141" s="269"/>
      <c r="AA141" s="269"/>
      <c r="AB141" s="269"/>
      <c r="AC141" s="269"/>
      <c r="AD141" s="269"/>
      <c r="AE141" s="269"/>
      <c r="AF141" s="269"/>
      <c r="AG141" s="269"/>
      <c r="AH141" s="269"/>
      <c r="AI141" s="269"/>
      <c r="AJ141" s="269"/>
      <c r="AK141" s="269"/>
      <c r="AL141" s="269"/>
      <c r="AM141" s="269"/>
      <c r="AN141" s="269"/>
      <c r="AO141" s="269"/>
    </row>
    <row r="142" spans="24:41" ht="8.4499999999999993" hidden="1" customHeight="1">
      <c r="X142" s="269"/>
      <c r="Y142" s="269"/>
      <c r="Z142" s="269"/>
      <c r="AA142" s="269"/>
      <c r="AB142" s="269"/>
      <c r="AC142" s="269"/>
      <c r="AD142" s="269"/>
      <c r="AE142" s="269"/>
      <c r="AF142" s="269"/>
      <c r="AG142" s="269"/>
      <c r="AH142" s="269"/>
      <c r="AI142" s="269"/>
      <c r="AJ142" s="269"/>
      <c r="AK142" s="269"/>
      <c r="AL142" s="269"/>
      <c r="AM142" s="269"/>
      <c r="AN142" s="269"/>
      <c r="AO142" s="269"/>
    </row>
    <row r="143" spans="24:41" ht="8.4499999999999993" hidden="1" customHeight="1">
      <c r="X143" s="269"/>
      <c r="Y143" s="269"/>
      <c r="Z143" s="269"/>
      <c r="AA143" s="269"/>
      <c r="AB143" s="269"/>
      <c r="AC143" s="269"/>
      <c r="AD143" s="269"/>
      <c r="AE143" s="269"/>
      <c r="AF143" s="269"/>
      <c r="AG143" s="269"/>
      <c r="AH143" s="269"/>
      <c r="AI143" s="269"/>
      <c r="AJ143" s="269"/>
      <c r="AK143" s="269"/>
      <c r="AL143" s="269"/>
      <c r="AM143" s="269"/>
      <c r="AN143" s="269"/>
      <c r="AO143" s="269"/>
    </row>
    <row r="144" spans="24:41" ht="8.4499999999999993" hidden="1" customHeight="1">
      <c r="X144" s="269"/>
      <c r="Y144" s="269"/>
      <c r="Z144" s="269"/>
      <c r="AA144" s="269"/>
      <c r="AB144" s="269"/>
      <c r="AC144" s="269"/>
      <c r="AD144" s="269"/>
      <c r="AE144" s="269"/>
      <c r="AF144" s="269"/>
      <c r="AG144" s="269"/>
      <c r="AH144" s="269"/>
      <c r="AI144" s="269"/>
      <c r="AJ144" s="269"/>
      <c r="AK144" s="269"/>
      <c r="AL144" s="269"/>
      <c r="AM144" s="269"/>
      <c r="AN144" s="269"/>
      <c r="AO144" s="269"/>
    </row>
    <row r="145" spans="24:41" ht="8.4499999999999993" hidden="1" customHeight="1">
      <c r="X145" s="269"/>
      <c r="Y145" s="269"/>
      <c r="Z145" s="269"/>
      <c r="AA145" s="269"/>
      <c r="AB145" s="269"/>
      <c r="AC145" s="269"/>
      <c r="AD145" s="269"/>
      <c r="AE145" s="269"/>
      <c r="AF145" s="269"/>
      <c r="AG145" s="269"/>
      <c r="AH145" s="269"/>
      <c r="AI145" s="269"/>
      <c r="AJ145" s="269"/>
      <c r="AK145" s="269"/>
      <c r="AL145" s="269"/>
      <c r="AM145" s="269"/>
      <c r="AN145" s="269"/>
      <c r="AO145" s="269"/>
    </row>
    <row r="146" spans="24:41" ht="8.4499999999999993" hidden="1" customHeight="1">
      <c r="X146" s="269"/>
      <c r="Y146" s="269"/>
      <c r="Z146" s="269"/>
      <c r="AA146" s="269"/>
      <c r="AB146" s="269"/>
      <c r="AC146" s="269"/>
      <c r="AD146" s="269"/>
      <c r="AE146" s="269"/>
      <c r="AF146" s="269"/>
      <c r="AG146" s="269"/>
      <c r="AH146" s="269"/>
      <c r="AI146" s="269"/>
      <c r="AJ146" s="269"/>
      <c r="AK146" s="269"/>
      <c r="AL146" s="269"/>
      <c r="AM146" s="269"/>
      <c r="AN146" s="269"/>
      <c r="AO146" s="269"/>
    </row>
    <row r="147" spans="24:41" ht="8.4499999999999993" hidden="1" customHeight="1">
      <c r="X147" s="269"/>
      <c r="Y147" s="269"/>
      <c r="Z147" s="269"/>
      <c r="AA147" s="269"/>
      <c r="AB147" s="269"/>
      <c r="AC147" s="269"/>
      <c r="AD147" s="269"/>
      <c r="AE147" s="269"/>
      <c r="AF147" s="269"/>
      <c r="AG147" s="269"/>
      <c r="AH147" s="269"/>
      <c r="AI147" s="269"/>
      <c r="AJ147" s="269"/>
      <c r="AK147" s="269"/>
      <c r="AL147" s="269"/>
      <c r="AM147" s="269"/>
      <c r="AN147" s="269"/>
      <c r="AO147" s="269"/>
    </row>
    <row r="148" spans="24:41" ht="8.4499999999999993" hidden="1" customHeight="1">
      <c r="X148" s="269"/>
      <c r="Y148" s="269"/>
      <c r="Z148" s="269"/>
      <c r="AA148" s="269"/>
      <c r="AB148" s="269"/>
      <c r="AC148" s="269"/>
      <c r="AD148" s="269"/>
      <c r="AE148" s="269"/>
      <c r="AF148" s="269"/>
      <c r="AG148" s="269"/>
      <c r="AH148" s="269"/>
      <c r="AI148" s="269"/>
      <c r="AJ148" s="269"/>
      <c r="AK148" s="269"/>
      <c r="AL148" s="269"/>
      <c r="AM148" s="269"/>
      <c r="AN148" s="269"/>
      <c r="AO148" s="269"/>
    </row>
    <row r="149" spans="24:41" ht="8.4499999999999993" hidden="1" customHeight="1">
      <c r="X149" s="269"/>
      <c r="Y149" s="269"/>
      <c r="Z149" s="269"/>
      <c r="AA149" s="269"/>
      <c r="AB149" s="269"/>
      <c r="AC149" s="269"/>
      <c r="AD149" s="269"/>
      <c r="AE149" s="269"/>
      <c r="AF149" s="269"/>
      <c r="AG149" s="269"/>
      <c r="AH149" s="269"/>
      <c r="AI149" s="269"/>
      <c r="AJ149" s="269"/>
      <c r="AK149" s="269"/>
      <c r="AL149" s="269"/>
      <c r="AM149" s="269"/>
      <c r="AN149" s="269"/>
      <c r="AO149" s="269"/>
    </row>
    <row r="150" spans="24:41" ht="8.4499999999999993" hidden="1" customHeight="1">
      <c r="X150" s="269"/>
      <c r="Y150" s="269"/>
      <c r="Z150" s="269"/>
      <c r="AA150" s="269"/>
      <c r="AB150" s="269"/>
      <c r="AC150" s="269"/>
      <c r="AD150" s="269"/>
      <c r="AE150" s="269"/>
      <c r="AF150" s="269"/>
      <c r="AG150" s="269"/>
      <c r="AH150" s="269"/>
      <c r="AI150" s="269"/>
      <c r="AJ150" s="269"/>
      <c r="AK150" s="269"/>
      <c r="AL150" s="269"/>
      <c r="AM150" s="269"/>
      <c r="AN150" s="269"/>
      <c r="AO150" s="269"/>
    </row>
    <row r="151" spans="24:41" ht="8.4499999999999993" hidden="1" customHeight="1">
      <c r="X151" s="269"/>
      <c r="Y151" s="269"/>
      <c r="Z151" s="269"/>
      <c r="AA151" s="269"/>
      <c r="AB151" s="269"/>
      <c r="AC151" s="269"/>
      <c r="AD151" s="269"/>
      <c r="AE151" s="269"/>
      <c r="AF151" s="269"/>
      <c r="AG151" s="269"/>
      <c r="AH151" s="269"/>
      <c r="AI151" s="269"/>
      <c r="AJ151" s="269"/>
      <c r="AK151" s="269"/>
      <c r="AL151" s="269"/>
      <c r="AM151" s="269"/>
      <c r="AN151" s="269"/>
      <c r="AO151" s="269"/>
    </row>
    <row r="152" spans="24:41" ht="8.4499999999999993" hidden="1" customHeight="1">
      <c r="X152" s="269"/>
      <c r="Y152" s="269"/>
      <c r="Z152" s="269"/>
      <c r="AA152" s="269"/>
      <c r="AB152" s="269"/>
      <c r="AC152" s="269"/>
      <c r="AD152" s="269"/>
      <c r="AE152" s="269"/>
      <c r="AF152" s="269"/>
      <c r="AG152" s="269"/>
      <c r="AH152" s="269"/>
      <c r="AI152" s="269"/>
      <c r="AJ152" s="269"/>
      <c r="AK152" s="269"/>
      <c r="AL152" s="269"/>
      <c r="AM152" s="269"/>
      <c r="AN152" s="269"/>
      <c r="AO152" s="269"/>
    </row>
    <row r="153" spans="24:41" ht="8.4499999999999993" hidden="1" customHeight="1">
      <c r="X153" s="269"/>
      <c r="Y153" s="269"/>
      <c r="Z153" s="269"/>
      <c r="AA153" s="269"/>
      <c r="AB153" s="269"/>
      <c r="AC153" s="269"/>
      <c r="AD153" s="269"/>
      <c r="AE153" s="269"/>
      <c r="AF153" s="269"/>
      <c r="AG153" s="269"/>
      <c r="AH153" s="269"/>
      <c r="AI153" s="269"/>
      <c r="AJ153" s="269"/>
      <c r="AK153" s="269"/>
      <c r="AL153" s="269"/>
      <c r="AM153" s="269"/>
      <c r="AN153" s="269"/>
      <c r="AO153" s="269"/>
    </row>
    <row r="154" spans="24:41" ht="8.4499999999999993" hidden="1" customHeight="1">
      <c r="X154" s="269"/>
      <c r="Y154" s="269"/>
      <c r="Z154" s="269"/>
      <c r="AA154" s="269"/>
      <c r="AB154" s="269"/>
      <c r="AC154" s="269"/>
      <c r="AD154" s="269"/>
      <c r="AE154" s="269"/>
      <c r="AF154" s="269"/>
      <c r="AG154" s="269"/>
      <c r="AH154" s="269"/>
      <c r="AI154" s="269"/>
      <c r="AJ154" s="269"/>
      <c r="AK154" s="269"/>
      <c r="AL154" s="269"/>
      <c r="AM154" s="269"/>
      <c r="AN154" s="269"/>
      <c r="AO154" s="269"/>
    </row>
    <row r="155" spans="24:41" ht="8.4499999999999993" hidden="1" customHeight="1">
      <c r="X155" s="269"/>
      <c r="Y155" s="269"/>
      <c r="Z155" s="269"/>
      <c r="AA155" s="269"/>
      <c r="AB155" s="269"/>
      <c r="AC155" s="269"/>
      <c r="AD155" s="269"/>
      <c r="AE155" s="269"/>
      <c r="AF155" s="269"/>
      <c r="AG155" s="269"/>
      <c r="AH155" s="269"/>
      <c r="AI155" s="269"/>
      <c r="AJ155" s="269"/>
      <c r="AK155" s="269"/>
      <c r="AL155" s="269"/>
      <c r="AM155" s="269"/>
      <c r="AN155" s="269"/>
      <c r="AO155" s="269"/>
    </row>
    <row r="156" spans="24:41" ht="8.4499999999999993" hidden="1" customHeight="1">
      <c r="X156" s="269"/>
      <c r="Y156" s="269"/>
      <c r="Z156" s="269"/>
      <c r="AA156" s="269"/>
      <c r="AB156" s="269"/>
      <c r="AC156" s="269"/>
      <c r="AD156" s="269"/>
      <c r="AE156" s="269"/>
      <c r="AF156" s="269"/>
      <c r="AG156" s="269"/>
      <c r="AH156" s="269"/>
      <c r="AI156" s="269"/>
      <c r="AJ156" s="269"/>
      <c r="AK156" s="269"/>
      <c r="AL156" s="269"/>
      <c r="AM156" s="269"/>
      <c r="AN156" s="269"/>
      <c r="AO156" s="269"/>
    </row>
    <row r="157" spans="24:41" ht="8.4499999999999993" hidden="1" customHeight="1">
      <c r="X157" s="269"/>
      <c r="Y157" s="269"/>
      <c r="Z157" s="269"/>
      <c r="AA157" s="269"/>
      <c r="AB157" s="269"/>
      <c r="AC157" s="269"/>
      <c r="AD157" s="269"/>
      <c r="AE157" s="269"/>
      <c r="AF157" s="269"/>
      <c r="AG157" s="269"/>
      <c r="AH157" s="269"/>
      <c r="AI157" s="269"/>
      <c r="AJ157" s="269"/>
      <c r="AK157" s="269"/>
      <c r="AL157" s="269"/>
      <c r="AM157" s="269"/>
      <c r="AN157" s="269"/>
      <c r="AO157" s="269"/>
    </row>
    <row r="158" spans="24:41" ht="8.4499999999999993" hidden="1" customHeight="1">
      <c r="X158" s="269"/>
      <c r="Y158" s="269"/>
      <c r="Z158" s="269"/>
      <c r="AA158" s="269"/>
      <c r="AB158" s="269"/>
      <c r="AC158" s="269"/>
      <c r="AD158" s="269"/>
      <c r="AE158" s="269"/>
      <c r="AF158" s="269"/>
      <c r="AG158" s="269"/>
      <c r="AH158" s="269"/>
      <c r="AI158" s="269"/>
      <c r="AJ158" s="269"/>
      <c r="AK158" s="269"/>
      <c r="AL158" s="269"/>
      <c r="AM158" s="269"/>
      <c r="AN158" s="269"/>
      <c r="AO158" s="269"/>
    </row>
    <row r="159" spans="24:41" ht="8.4499999999999993" hidden="1" customHeight="1">
      <c r="X159" s="269"/>
      <c r="Y159" s="269"/>
      <c r="Z159" s="269"/>
      <c r="AA159" s="269"/>
      <c r="AB159" s="269"/>
      <c r="AC159" s="269"/>
      <c r="AD159" s="269"/>
      <c r="AE159" s="269"/>
      <c r="AF159" s="269"/>
      <c r="AG159" s="269"/>
      <c r="AH159" s="269"/>
      <c r="AI159" s="269"/>
      <c r="AJ159" s="269"/>
      <c r="AK159" s="269"/>
      <c r="AL159" s="269"/>
      <c r="AM159" s="269"/>
      <c r="AN159" s="269"/>
      <c r="AO159" s="269"/>
    </row>
    <row r="160" spans="24:41" ht="8.4499999999999993" hidden="1" customHeight="1">
      <c r="X160" s="269"/>
      <c r="Y160" s="269"/>
      <c r="Z160" s="269"/>
      <c r="AA160" s="269"/>
      <c r="AB160" s="269"/>
      <c r="AC160" s="269"/>
      <c r="AD160" s="269"/>
      <c r="AE160" s="269"/>
      <c r="AF160" s="269"/>
      <c r="AG160" s="269"/>
      <c r="AH160" s="269"/>
      <c r="AI160" s="269"/>
      <c r="AJ160" s="269"/>
      <c r="AK160" s="269"/>
      <c r="AL160" s="269"/>
      <c r="AM160" s="269"/>
      <c r="AN160" s="269"/>
      <c r="AO160" s="269"/>
    </row>
    <row r="161" spans="24:41" ht="8.4499999999999993" hidden="1" customHeight="1">
      <c r="X161" s="269"/>
      <c r="Y161" s="269"/>
      <c r="Z161" s="269"/>
      <c r="AA161" s="269"/>
      <c r="AB161" s="269"/>
      <c r="AC161" s="269"/>
      <c r="AD161" s="269"/>
      <c r="AE161" s="269"/>
      <c r="AF161" s="269"/>
      <c r="AG161" s="269"/>
      <c r="AH161" s="269"/>
      <c r="AI161" s="269"/>
      <c r="AJ161" s="269"/>
      <c r="AK161" s="269"/>
      <c r="AL161" s="269"/>
      <c r="AM161" s="269"/>
      <c r="AN161" s="269"/>
      <c r="AO161" s="269"/>
    </row>
    <row r="162" spans="24:41" ht="8.4499999999999993" hidden="1" customHeight="1">
      <c r="X162" s="269"/>
      <c r="Y162" s="269"/>
      <c r="Z162" s="269"/>
      <c r="AA162" s="269"/>
      <c r="AB162" s="269"/>
      <c r="AC162" s="269"/>
      <c r="AD162" s="269"/>
      <c r="AE162" s="269"/>
      <c r="AF162" s="269"/>
      <c r="AG162" s="269"/>
      <c r="AH162" s="269"/>
      <c r="AI162" s="269"/>
      <c r="AJ162" s="269"/>
      <c r="AK162" s="269"/>
      <c r="AL162" s="269"/>
      <c r="AM162" s="269"/>
      <c r="AN162" s="269"/>
      <c r="AO162" s="269"/>
    </row>
    <row r="163" spans="24:41" ht="8.4499999999999993" hidden="1" customHeight="1">
      <c r="X163" s="269"/>
      <c r="Y163" s="269"/>
      <c r="Z163" s="269"/>
      <c r="AA163" s="269"/>
      <c r="AB163" s="269"/>
      <c r="AC163" s="269"/>
      <c r="AD163" s="269"/>
      <c r="AE163" s="269"/>
      <c r="AF163" s="269"/>
      <c r="AG163" s="269"/>
      <c r="AH163" s="269"/>
      <c r="AI163" s="269"/>
      <c r="AJ163" s="269"/>
      <c r="AK163" s="269"/>
      <c r="AL163" s="269"/>
      <c r="AM163" s="269"/>
      <c r="AN163" s="269"/>
      <c r="AO163" s="269"/>
    </row>
    <row r="164" spans="24:41" ht="8.4499999999999993" hidden="1" customHeight="1">
      <c r="X164" s="269"/>
      <c r="Y164" s="269"/>
      <c r="Z164" s="269"/>
      <c r="AA164" s="269"/>
      <c r="AB164" s="269"/>
      <c r="AC164" s="269"/>
      <c r="AD164" s="269"/>
      <c r="AE164" s="269"/>
      <c r="AF164" s="269"/>
      <c r="AG164" s="269"/>
      <c r="AH164" s="269"/>
      <c r="AI164" s="269"/>
      <c r="AJ164" s="269"/>
      <c r="AK164" s="269"/>
      <c r="AL164" s="269"/>
      <c r="AM164" s="269"/>
      <c r="AN164" s="269"/>
      <c r="AO164" s="269"/>
    </row>
    <row r="165" spans="24:41" ht="8.4499999999999993" hidden="1" customHeight="1">
      <c r="X165" s="269"/>
      <c r="Y165" s="269"/>
      <c r="Z165" s="269"/>
      <c r="AA165" s="269"/>
      <c r="AB165" s="269"/>
      <c r="AC165" s="269"/>
      <c r="AD165" s="269"/>
      <c r="AE165" s="269"/>
      <c r="AF165" s="269"/>
      <c r="AG165" s="269"/>
      <c r="AH165" s="269"/>
      <c r="AI165" s="269"/>
      <c r="AJ165" s="269"/>
      <c r="AK165" s="269"/>
      <c r="AL165" s="269"/>
      <c r="AM165" s="269"/>
      <c r="AN165" s="269"/>
      <c r="AO165" s="269"/>
    </row>
    <row r="166" spans="24:41" ht="8.4499999999999993" hidden="1" customHeight="1">
      <c r="X166" s="269"/>
      <c r="Y166" s="269"/>
      <c r="Z166" s="269"/>
      <c r="AA166" s="269"/>
      <c r="AB166" s="269"/>
      <c r="AC166" s="269"/>
      <c r="AD166" s="269"/>
      <c r="AE166" s="269"/>
      <c r="AF166" s="269"/>
      <c r="AG166" s="269"/>
      <c r="AH166" s="269"/>
      <c r="AI166" s="269"/>
      <c r="AJ166" s="269"/>
      <c r="AK166" s="269"/>
      <c r="AL166" s="269"/>
      <c r="AM166" s="269"/>
      <c r="AN166" s="269"/>
      <c r="AO166" s="269"/>
    </row>
    <row r="167" spans="24:41" ht="8.4499999999999993" hidden="1" customHeight="1">
      <c r="X167" s="269"/>
      <c r="Y167" s="269"/>
      <c r="Z167" s="269"/>
      <c r="AA167" s="269"/>
      <c r="AB167" s="269"/>
      <c r="AC167" s="269"/>
      <c r="AD167" s="269"/>
      <c r="AE167" s="269"/>
      <c r="AF167" s="269"/>
      <c r="AG167" s="269"/>
      <c r="AH167" s="269"/>
      <c r="AI167" s="269"/>
      <c r="AJ167" s="269"/>
      <c r="AK167" s="269"/>
      <c r="AL167" s="269"/>
      <c r="AM167" s="269"/>
      <c r="AN167" s="269"/>
      <c r="AO167" s="269"/>
    </row>
    <row r="168" spans="24:41" ht="8.4499999999999993" hidden="1" customHeight="1">
      <c r="X168" s="269"/>
      <c r="Y168" s="269"/>
      <c r="Z168" s="269"/>
      <c r="AA168" s="269"/>
      <c r="AB168" s="269"/>
      <c r="AC168" s="269"/>
      <c r="AD168" s="269"/>
      <c r="AE168" s="269"/>
      <c r="AF168" s="269"/>
      <c r="AG168" s="269"/>
      <c r="AH168" s="269"/>
      <c r="AI168" s="269"/>
      <c r="AJ168" s="269"/>
      <c r="AK168" s="269"/>
      <c r="AL168" s="269"/>
      <c r="AM168" s="269"/>
      <c r="AN168" s="269"/>
      <c r="AO168" s="269"/>
    </row>
    <row r="169" spans="24:41" ht="8.4499999999999993" hidden="1" customHeight="1">
      <c r="X169" s="269"/>
      <c r="Y169" s="269"/>
      <c r="Z169" s="269"/>
      <c r="AA169" s="269"/>
      <c r="AB169" s="269"/>
      <c r="AC169" s="269"/>
      <c r="AD169" s="269"/>
      <c r="AE169" s="269"/>
      <c r="AF169" s="269"/>
      <c r="AG169" s="269"/>
      <c r="AH169" s="269"/>
      <c r="AI169" s="269"/>
      <c r="AJ169" s="269"/>
      <c r="AK169" s="269"/>
      <c r="AL169" s="269"/>
      <c r="AM169" s="269"/>
      <c r="AN169" s="269"/>
      <c r="AO169" s="269"/>
    </row>
    <row r="170" spans="24:41" ht="8.4499999999999993" hidden="1" customHeight="1">
      <c r="X170" s="269"/>
      <c r="Y170" s="269"/>
      <c r="Z170" s="269"/>
      <c r="AA170" s="269"/>
      <c r="AB170" s="269"/>
      <c r="AC170" s="269"/>
      <c r="AD170" s="269"/>
      <c r="AE170" s="269"/>
      <c r="AF170" s="269"/>
      <c r="AG170" s="269"/>
      <c r="AH170" s="269"/>
      <c r="AI170" s="269"/>
      <c r="AJ170" s="269"/>
      <c r="AK170" s="269"/>
      <c r="AL170" s="269"/>
      <c r="AM170" s="269"/>
      <c r="AN170" s="269"/>
      <c r="AO170" s="269"/>
    </row>
    <row r="171" spans="24:41" ht="8.4499999999999993" hidden="1" customHeight="1">
      <c r="X171" s="269"/>
      <c r="Y171" s="269"/>
      <c r="Z171" s="269"/>
      <c r="AA171" s="269"/>
      <c r="AB171" s="269"/>
      <c r="AC171" s="269"/>
      <c r="AD171" s="269"/>
      <c r="AE171" s="269"/>
      <c r="AF171" s="269"/>
      <c r="AG171" s="269"/>
      <c r="AH171" s="269"/>
      <c r="AI171" s="269"/>
      <c r="AJ171" s="269"/>
      <c r="AK171" s="269"/>
      <c r="AL171" s="269"/>
      <c r="AM171" s="269"/>
      <c r="AN171" s="269"/>
      <c r="AO171" s="269"/>
    </row>
    <row r="172" spans="24:41" ht="8.4499999999999993" hidden="1" customHeight="1">
      <c r="X172" s="269"/>
      <c r="Y172" s="269"/>
      <c r="Z172" s="269"/>
      <c r="AA172" s="269"/>
      <c r="AB172" s="269"/>
      <c r="AC172" s="269"/>
      <c r="AD172" s="269"/>
      <c r="AE172" s="269"/>
      <c r="AF172" s="269"/>
      <c r="AG172" s="269"/>
      <c r="AH172" s="269"/>
      <c r="AI172" s="269"/>
      <c r="AJ172" s="269"/>
      <c r="AK172" s="269"/>
      <c r="AL172" s="269"/>
      <c r="AM172" s="269"/>
      <c r="AN172" s="269"/>
      <c r="AO172" s="269"/>
    </row>
    <row r="173" spans="24:41" ht="8.4499999999999993" hidden="1" customHeight="1">
      <c r="X173" s="269"/>
      <c r="Y173" s="269"/>
      <c r="Z173" s="269"/>
      <c r="AA173" s="269"/>
      <c r="AB173" s="269"/>
      <c r="AC173" s="269"/>
      <c r="AD173" s="269"/>
      <c r="AE173" s="269"/>
      <c r="AF173" s="269"/>
      <c r="AG173" s="269"/>
      <c r="AH173" s="269"/>
      <c r="AI173" s="269"/>
      <c r="AJ173" s="269"/>
      <c r="AK173" s="269"/>
      <c r="AL173" s="269"/>
      <c r="AM173" s="269"/>
      <c r="AN173" s="269"/>
      <c r="AO173" s="269"/>
    </row>
    <row r="174" spans="24:41" ht="8.4499999999999993" hidden="1" customHeight="1">
      <c r="X174" s="269"/>
      <c r="Y174" s="269"/>
      <c r="Z174" s="269"/>
      <c r="AA174" s="269"/>
      <c r="AB174" s="269"/>
      <c r="AC174" s="269"/>
      <c r="AD174" s="269"/>
      <c r="AE174" s="269"/>
      <c r="AF174" s="269"/>
      <c r="AG174" s="269"/>
      <c r="AH174" s="269"/>
      <c r="AI174" s="269"/>
      <c r="AJ174" s="269"/>
      <c r="AK174" s="269"/>
      <c r="AL174" s="269"/>
      <c r="AM174" s="269"/>
      <c r="AN174" s="269"/>
      <c r="AO174" s="269"/>
    </row>
    <row r="175" spans="24:41" ht="8.4499999999999993" hidden="1" customHeight="1">
      <c r="X175" s="269"/>
      <c r="Y175" s="269"/>
      <c r="Z175" s="269"/>
      <c r="AA175" s="269"/>
      <c r="AB175" s="269"/>
      <c r="AC175" s="269"/>
      <c r="AD175" s="269"/>
      <c r="AE175" s="269"/>
      <c r="AF175" s="269"/>
      <c r="AG175" s="269"/>
      <c r="AH175" s="269"/>
      <c r="AI175" s="269"/>
      <c r="AJ175" s="269"/>
      <c r="AK175" s="269"/>
      <c r="AL175" s="269"/>
      <c r="AM175" s="269"/>
      <c r="AN175" s="269"/>
      <c r="AO175" s="269"/>
    </row>
    <row r="176" spans="24:41" ht="8.4499999999999993" hidden="1" customHeight="1">
      <c r="X176" s="269"/>
      <c r="Y176" s="269"/>
      <c r="Z176" s="269"/>
      <c r="AA176" s="269"/>
      <c r="AB176" s="269"/>
      <c r="AC176" s="269"/>
      <c r="AD176" s="269"/>
      <c r="AE176" s="269"/>
      <c r="AF176" s="269"/>
      <c r="AG176" s="269"/>
      <c r="AH176" s="269"/>
      <c r="AI176" s="269"/>
      <c r="AJ176" s="269"/>
      <c r="AK176" s="269"/>
      <c r="AL176" s="269"/>
      <c r="AM176" s="269"/>
      <c r="AN176" s="269"/>
      <c r="AO176" s="269"/>
    </row>
    <row r="177" spans="24:41" ht="8.4499999999999993" hidden="1" customHeight="1">
      <c r="X177" s="269"/>
      <c r="Y177" s="269"/>
      <c r="Z177" s="269"/>
      <c r="AA177" s="269"/>
      <c r="AB177" s="269"/>
      <c r="AC177" s="269"/>
      <c r="AD177" s="269"/>
      <c r="AE177" s="269"/>
      <c r="AF177" s="269"/>
      <c r="AG177" s="269"/>
      <c r="AH177" s="269"/>
      <c r="AI177" s="269"/>
      <c r="AJ177" s="269"/>
      <c r="AK177" s="269"/>
      <c r="AL177" s="269"/>
      <c r="AM177" s="269"/>
      <c r="AN177" s="269"/>
      <c r="AO177" s="269"/>
    </row>
    <row r="178" spans="24:41" ht="8.4499999999999993" hidden="1" customHeight="1">
      <c r="X178" s="269"/>
      <c r="Y178" s="269"/>
      <c r="Z178" s="269"/>
      <c r="AA178" s="269"/>
      <c r="AB178" s="269"/>
      <c r="AC178" s="269"/>
      <c r="AD178" s="269"/>
      <c r="AE178" s="269"/>
      <c r="AF178" s="269"/>
      <c r="AG178" s="269"/>
      <c r="AH178" s="269"/>
      <c r="AI178" s="269"/>
      <c r="AJ178" s="269"/>
      <c r="AK178" s="269"/>
      <c r="AL178" s="269"/>
      <c r="AM178" s="269"/>
      <c r="AN178" s="269"/>
      <c r="AO178" s="269"/>
    </row>
    <row r="179" spans="24:41" ht="8.4499999999999993" hidden="1" customHeight="1">
      <c r="X179" s="259"/>
      <c r="Y179" s="259"/>
      <c r="Z179" s="259"/>
      <c r="AA179" s="259"/>
      <c r="AB179" s="259"/>
      <c r="AC179" s="259"/>
      <c r="AD179" s="259"/>
      <c r="AE179" s="259"/>
      <c r="AF179" s="259"/>
      <c r="AG179" s="259"/>
      <c r="AH179" s="259"/>
      <c r="AI179" s="259"/>
      <c r="AJ179" s="259"/>
      <c r="AK179" s="259"/>
      <c r="AL179" s="259"/>
      <c r="AM179" s="259"/>
      <c r="AN179" s="259"/>
      <c r="AO179" s="259"/>
    </row>
    <row r="180" spans="24:41" ht="8.4499999999999993" hidden="1" customHeight="1">
      <c r="X180" s="259"/>
      <c r="Y180" s="259"/>
      <c r="Z180" s="259"/>
      <c r="AA180" s="259"/>
      <c r="AB180" s="259"/>
      <c r="AC180" s="259"/>
      <c r="AD180" s="259"/>
      <c r="AE180" s="259"/>
      <c r="AF180" s="259"/>
      <c r="AG180" s="259"/>
      <c r="AH180" s="259"/>
      <c r="AI180" s="259"/>
      <c r="AJ180" s="259"/>
      <c r="AK180" s="259"/>
      <c r="AL180" s="259"/>
      <c r="AM180" s="259"/>
      <c r="AN180" s="259"/>
      <c r="AO180" s="259"/>
    </row>
    <row r="181" spans="24:41" ht="8.4499999999999993" hidden="1" customHeight="1">
      <c r="X181" s="269"/>
      <c r="Y181" s="269"/>
      <c r="Z181" s="269"/>
      <c r="AA181" s="269"/>
      <c r="AB181" s="269"/>
      <c r="AC181" s="269"/>
      <c r="AD181" s="269"/>
      <c r="AE181" s="269"/>
      <c r="AF181" s="269"/>
      <c r="AG181" s="269"/>
      <c r="AH181" s="269"/>
      <c r="AI181" s="269"/>
      <c r="AJ181" s="269"/>
      <c r="AK181" s="269"/>
      <c r="AL181" s="269"/>
      <c r="AM181" s="269"/>
      <c r="AN181" s="269"/>
      <c r="AO181" s="269"/>
    </row>
    <row r="182" spans="24:41" ht="8.4499999999999993" hidden="1" customHeight="1">
      <c r="X182" s="269"/>
      <c r="Y182" s="269"/>
      <c r="Z182" s="269"/>
      <c r="AA182" s="269"/>
      <c r="AB182" s="269"/>
      <c r="AC182" s="269"/>
      <c r="AD182" s="269"/>
      <c r="AE182" s="269"/>
      <c r="AF182" s="269"/>
      <c r="AG182" s="269"/>
      <c r="AH182" s="269"/>
      <c r="AI182" s="269"/>
      <c r="AJ182" s="269"/>
      <c r="AK182" s="269"/>
      <c r="AL182" s="269"/>
      <c r="AM182" s="269"/>
      <c r="AN182" s="269"/>
      <c r="AO182" s="269"/>
    </row>
    <row r="183" spans="24:41" ht="8.4499999999999993" hidden="1" customHeight="1">
      <c r="X183" s="269"/>
      <c r="Y183" s="269"/>
      <c r="Z183" s="269"/>
      <c r="AA183" s="269"/>
      <c r="AB183" s="269"/>
      <c r="AC183" s="269"/>
      <c r="AD183" s="269"/>
      <c r="AE183" s="269"/>
      <c r="AF183" s="269"/>
      <c r="AG183" s="269"/>
      <c r="AH183" s="269"/>
      <c r="AI183" s="269"/>
      <c r="AJ183" s="269"/>
      <c r="AK183" s="269"/>
      <c r="AL183" s="269"/>
      <c r="AM183" s="269"/>
      <c r="AN183" s="269"/>
      <c r="AO183" s="269"/>
    </row>
    <row r="184" spans="24:41" ht="8.4499999999999993" hidden="1" customHeight="1">
      <c r="X184" s="269"/>
      <c r="Y184" s="269"/>
      <c r="Z184" s="269"/>
      <c r="AA184" s="269"/>
      <c r="AB184" s="269"/>
      <c r="AC184" s="269"/>
      <c r="AD184" s="269"/>
      <c r="AE184" s="269"/>
      <c r="AF184" s="269"/>
      <c r="AG184" s="269"/>
      <c r="AH184" s="269"/>
      <c r="AI184" s="269"/>
      <c r="AJ184" s="269"/>
      <c r="AK184" s="269"/>
      <c r="AL184" s="269"/>
      <c r="AM184" s="269"/>
      <c r="AN184" s="269"/>
      <c r="AO184" s="269"/>
    </row>
    <row r="185" spans="24:41" ht="8.4499999999999993" hidden="1" customHeight="1">
      <c r="X185" s="269"/>
      <c r="Y185" s="269"/>
      <c r="Z185" s="269"/>
      <c r="AA185" s="269"/>
      <c r="AB185" s="269"/>
      <c r="AC185" s="269"/>
      <c r="AD185" s="269"/>
      <c r="AE185" s="269"/>
      <c r="AF185" s="269"/>
      <c r="AG185" s="269"/>
      <c r="AH185" s="269"/>
      <c r="AI185" s="269"/>
      <c r="AJ185" s="269"/>
      <c r="AK185" s="269"/>
      <c r="AL185" s="269"/>
      <c r="AM185" s="269"/>
      <c r="AN185" s="269"/>
      <c r="AO185" s="269"/>
    </row>
    <row r="186" spans="24:41" ht="8.4499999999999993" hidden="1" customHeight="1">
      <c r="X186" s="269"/>
      <c r="Y186" s="269"/>
      <c r="Z186" s="269"/>
      <c r="AA186" s="269"/>
      <c r="AB186" s="269"/>
      <c r="AC186" s="269"/>
      <c r="AD186" s="269"/>
      <c r="AE186" s="269"/>
      <c r="AF186" s="269"/>
      <c r="AG186" s="269"/>
      <c r="AH186" s="269"/>
      <c r="AI186" s="269"/>
      <c r="AJ186" s="269"/>
      <c r="AK186" s="269"/>
      <c r="AL186" s="269"/>
      <c r="AM186" s="269"/>
      <c r="AN186" s="269"/>
      <c r="AO186" s="269"/>
    </row>
    <row r="187" spans="24:41" ht="8.4499999999999993" hidden="1" customHeight="1">
      <c r="X187" s="269"/>
      <c r="Y187" s="269"/>
      <c r="Z187" s="269"/>
      <c r="AA187" s="269"/>
      <c r="AB187" s="269"/>
      <c r="AC187" s="269"/>
      <c r="AD187" s="269"/>
      <c r="AE187" s="269"/>
      <c r="AF187" s="269"/>
      <c r="AG187" s="269"/>
      <c r="AH187" s="269"/>
      <c r="AI187" s="269"/>
      <c r="AJ187" s="269"/>
      <c r="AK187" s="269"/>
      <c r="AL187" s="269"/>
      <c r="AM187" s="269"/>
      <c r="AN187" s="269"/>
      <c r="AO187" s="269"/>
    </row>
    <row r="188" spans="24:41" ht="8.4499999999999993" hidden="1" customHeight="1">
      <c r="X188" s="269"/>
      <c r="Y188" s="269"/>
      <c r="Z188" s="269"/>
      <c r="AA188" s="269"/>
      <c r="AB188" s="269"/>
      <c r="AC188" s="269"/>
      <c r="AD188" s="269"/>
      <c r="AE188" s="269"/>
      <c r="AF188" s="269"/>
      <c r="AG188" s="269"/>
      <c r="AH188" s="269"/>
      <c r="AI188" s="269"/>
      <c r="AJ188" s="269"/>
      <c r="AK188" s="269"/>
      <c r="AL188" s="269"/>
      <c r="AM188" s="269"/>
      <c r="AN188" s="269"/>
      <c r="AO188" s="269"/>
    </row>
    <row r="189" spans="24:41" ht="8.4499999999999993" hidden="1" customHeight="1">
      <c r="X189" s="269"/>
      <c r="Y189" s="269"/>
      <c r="Z189" s="269"/>
      <c r="AA189" s="269"/>
      <c r="AB189" s="269"/>
      <c r="AC189" s="269"/>
      <c r="AD189" s="269"/>
      <c r="AE189" s="269"/>
      <c r="AF189" s="269"/>
      <c r="AG189" s="269"/>
      <c r="AH189" s="269"/>
      <c r="AI189" s="269"/>
      <c r="AJ189" s="269"/>
      <c r="AK189" s="269"/>
      <c r="AL189" s="269"/>
      <c r="AM189" s="269"/>
      <c r="AN189" s="269"/>
      <c r="AO189" s="269"/>
    </row>
    <row r="190" spans="24:41" ht="8.4499999999999993" hidden="1" customHeight="1">
      <c r="X190" s="269"/>
      <c r="Y190" s="269"/>
      <c r="Z190" s="269"/>
      <c r="AA190" s="269"/>
      <c r="AB190" s="269"/>
      <c r="AC190" s="269"/>
      <c r="AD190" s="269"/>
      <c r="AE190" s="269"/>
      <c r="AF190" s="269"/>
      <c r="AG190" s="269"/>
      <c r="AH190" s="269"/>
      <c r="AI190" s="269"/>
      <c r="AJ190" s="269"/>
      <c r="AK190" s="269"/>
      <c r="AL190" s="269"/>
      <c r="AM190" s="269"/>
      <c r="AN190" s="269"/>
      <c r="AO190" s="269"/>
    </row>
    <row r="191" spans="24:41" ht="8.4499999999999993" hidden="1" customHeight="1">
      <c r="X191" s="269"/>
      <c r="Y191" s="269"/>
      <c r="Z191" s="269"/>
      <c r="AA191" s="269"/>
      <c r="AB191" s="269"/>
      <c r="AC191" s="269"/>
      <c r="AD191" s="269"/>
      <c r="AE191" s="269"/>
      <c r="AF191" s="269"/>
      <c r="AG191" s="269"/>
      <c r="AH191" s="269"/>
      <c r="AI191" s="269"/>
      <c r="AJ191" s="269"/>
      <c r="AK191" s="269"/>
      <c r="AL191" s="269"/>
      <c r="AM191" s="269"/>
      <c r="AN191" s="269"/>
      <c r="AO191" s="269"/>
    </row>
    <row r="192" spans="24:41" ht="8.4499999999999993" hidden="1" customHeight="1">
      <c r="X192" s="269"/>
      <c r="Y192" s="269"/>
      <c r="Z192" s="269"/>
      <c r="AA192" s="269"/>
      <c r="AB192" s="269"/>
      <c r="AC192" s="269"/>
      <c r="AD192" s="269"/>
      <c r="AE192" s="269"/>
      <c r="AF192" s="269"/>
      <c r="AG192" s="269"/>
      <c r="AH192" s="269"/>
      <c r="AI192" s="269"/>
      <c r="AJ192" s="269"/>
      <c r="AK192" s="269"/>
      <c r="AL192" s="269"/>
      <c r="AM192" s="269"/>
      <c r="AN192" s="269"/>
      <c r="AO192" s="269"/>
    </row>
    <row r="193" spans="24:41" ht="8.4499999999999993" hidden="1" customHeight="1">
      <c r="X193" s="269"/>
      <c r="Y193" s="269"/>
      <c r="Z193" s="269"/>
      <c r="AA193" s="269"/>
      <c r="AB193" s="269"/>
      <c r="AC193" s="269"/>
      <c r="AD193" s="269"/>
      <c r="AE193" s="269"/>
      <c r="AF193" s="269"/>
      <c r="AG193" s="269"/>
      <c r="AH193" s="269"/>
      <c r="AI193" s="269"/>
      <c r="AJ193" s="269"/>
      <c r="AK193" s="269"/>
      <c r="AL193" s="269"/>
      <c r="AM193" s="269"/>
      <c r="AN193" s="269"/>
      <c r="AO193" s="269"/>
    </row>
    <row r="194" spans="24:41" ht="8.4499999999999993" hidden="1" customHeight="1">
      <c r="X194" s="269"/>
      <c r="Y194" s="269"/>
      <c r="Z194" s="269"/>
      <c r="AA194" s="269"/>
      <c r="AB194" s="269"/>
      <c r="AC194" s="269"/>
      <c r="AD194" s="269"/>
      <c r="AE194" s="269"/>
      <c r="AF194" s="269"/>
      <c r="AG194" s="269"/>
      <c r="AH194" s="269"/>
      <c r="AI194" s="269"/>
      <c r="AJ194" s="269"/>
      <c r="AK194" s="269"/>
      <c r="AL194" s="269"/>
      <c r="AM194" s="269"/>
      <c r="AN194" s="269"/>
      <c r="AO194" s="269"/>
    </row>
    <row r="195" spans="24:41" ht="8.4499999999999993" hidden="1" customHeight="1">
      <c r="X195" s="269"/>
      <c r="Y195" s="269"/>
      <c r="Z195" s="269"/>
      <c r="AA195" s="269"/>
      <c r="AB195" s="269"/>
      <c r="AC195" s="269"/>
      <c r="AD195" s="269"/>
      <c r="AE195" s="269"/>
      <c r="AF195" s="269"/>
      <c r="AG195" s="269"/>
      <c r="AH195" s="269"/>
      <c r="AI195" s="269"/>
      <c r="AJ195" s="269"/>
      <c r="AK195" s="269"/>
      <c r="AL195" s="269"/>
      <c r="AM195" s="269"/>
      <c r="AN195" s="269"/>
      <c r="AO195" s="269"/>
    </row>
    <row r="196" spans="24:41" ht="8.4499999999999993" hidden="1" customHeight="1">
      <c r="X196" s="269"/>
      <c r="Y196" s="269"/>
      <c r="Z196" s="269"/>
      <c r="AA196" s="269"/>
      <c r="AB196" s="269"/>
      <c r="AC196" s="269"/>
      <c r="AD196" s="269"/>
      <c r="AE196" s="269"/>
      <c r="AF196" s="269"/>
      <c r="AG196" s="269"/>
      <c r="AH196" s="269"/>
      <c r="AI196" s="269"/>
      <c r="AJ196" s="269"/>
      <c r="AK196" s="269"/>
      <c r="AL196" s="269"/>
      <c r="AM196" s="269"/>
      <c r="AN196" s="269"/>
      <c r="AO196" s="269"/>
    </row>
    <row r="197" spans="24:41" ht="8.4499999999999993" hidden="1" customHeight="1">
      <c r="X197" s="269"/>
      <c r="Y197" s="269"/>
      <c r="Z197" s="269"/>
      <c r="AA197" s="269"/>
      <c r="AB197" s="269"/>
      <c r="AC197" s="269"/>
      <c r="AD197" s="269"/>
      <c r="AE197" s="269"/>
      <c r="AF197" s="269"/>
      <c r="AG197" s="269"/>
      <c r="AH197" s="269"/>
      <c r="AI197" s="269"/>
      <c r="AJ197" s="269"/>
      <c r="AK197" s="269"/>
      <c r="AL197" s="269"/>
      <c r="AM197" s="269"/>
      <c r="AN197" s="269"/>
      <c r="AO197" s="269"/>
    </row>
    <row r="198" spans="24:41" ht="8.4499999999999993" hidden="1" customHeight="1">
      <c r="X198" s="269"/>
      <c r="Y198" s="269"/>
      <c r="Z198" s="269"/>
      <c r="AA198" s="269"/>
      <c r="AB198" s="269"/>
      <c r="AC198" s="269"/>
      <c r="AD198" s="269"/>
      <c r="AE198" s="269"/>
      <c r="AF198" s="269"/>
      <c r="AG198" s="269"/>
      <c r="AH198" s="269"/>
      <c r="AI198" s="269"/>
      <c r="AJ198" s="269"/>
      <c r="AK198" s="269"/>
      <c r="AL198" s="269"/>
      <c r="AM198" s="269"/>
      <c r="AN198" s="269"/>
      <c r="AO198" s="269"/>
    </row>
    <row r="199" spans="24:41" ht="8.4499999999999993" hidden="1" customHeight="1">
      <c r="X199" s="269"/>
      <c r="Y199" s="269"/>
      <c r="Z199" s="269"/>
      <c r="AA199" s="269"/>
      <c r="AB199" s="269"/>
      <c r="AC199" s="269"/>
      <c r="AD199" s="269"/>
      <c r="AE199" s="269"/>
      <c r="AF199" s="269"/>
      <c r="AG199" s="269"/>
      <c r="AH199" s="269"/>
      <c r="AI199" s="269"/>
      <c r="AJ199" s="269"/>
      <c r="AK199" s="269"/>
      <c r="AL199" s="269"/>
      <c r="AM199" s="269"/>
      <c r="AN199" s="269"/>
      <c r="AO199" s="269"/>
    </row>
    <row r="200" spans="24:41" ht="8.4499999999999993" hidden="1" customHeight="1">
      <c r="X200" s="269"/>
      <c r="Y200" s="269"/>
      <c r="Z200" s="269"/>
      <c r="AA200" s="269"/>
      <c r="AB200" s="269"/>
      <c r="AC200" s="269"/>
      <c r="AD200" s="269"/>
      <c r="AE200" s="269"/>
      <c r="AF200" s="269"/>
      <c r="AG200" s="269"/>
      <c r="AH200" s="269"/>
      <c r="AI200" s="269"/>
      <c r="AJ200" s="269"/>
      <c r="AK200" s="269"/>
      <c r="AL200" s="269"/>
      <c r="AM200" s="269"/>
      <c r="AN200" s="269"/>
      <c r="AO200" s="269"/>
    </row>
    <row r="201" spans="24:41" ht="8.4499999999999993" hidden="1" customHeight="1">
      <c r="X201" s="269"/>
      <c r="Y201" s="269"/>
      <c r="Z201" s="269"/>
      <c r="AA201" s="269"/>
      <c r="AB201" s="269"/>
      <c r="AC201" s="269"/>
      <c r="AD201" s="269"/>
      <c r="AE201" s="269"/>
      <c r="AF201" s="269"/>
      <c r="AG201" s="269"/>
      <c r="AH201" s="269"/>
      <c r="AI201" s="269"/>
      <c r="AJ201" s="269"/>
      <c r="AK201" s="269"/>
      <c r="AL201" s="269"/>
      <c r="AM201" s="269"/>
      <c r="AN201" s="269"/>
      <c r="AO201" s="269"/>
    </row>
    <row r="202" spans="24:41" ht="8.4499999999999993" hidden="1" customHeight="1">
      <c r="X202" s="269"/>
      <c r="Y202" s="269"/>
      <c r="Z202" s="269"/>
      <c r="AA202" s="269"/>
      <c r="AB202" s="269"/>
      <c r="AC202" s="269"/>
      <c r="AD202" s="269"/>
      <c r="AE202" s="269"/>
      <c r="AF202" s="269"/>
      <c r="AG202" s="269"/>
      <c r="AH202" s="269"/>
      <c r="AI202" s="269"/>
      <c r="AJ202" s="269"/>
      <c r="AK202" s="269"/>
      <c r="AL202" s="269"/>
      <c r="AM202" s="269"/>
      <c r="AN202" s="269"/>
      <c r="AO202" s="269"/>
    </row>
    <row r="203" spans="24:41" ht="8.4499999999999993" hidden="1" customHeight="1">
      <c r="X203" s="269"/>
      <c r="Y203" s="269"/>
      <c r="Z203" s="269"/>
      <c r="AA203" s="269"/>
      <c r="AB203" s="269"/>
      <c r="AC203" s="269"/>
      <c r="AD203" s="269"/>
      <c r="AE203" s="269"/>
      <c r="AF203" s="269"/>
      <c r="AG203" s="269"/>
      <c r="AH203" s="269"/>
      <c r="AI203" s="269"/>
      <c r="AJ203" s="269"/>
      <c r="AK203" s="269"/>
      <c r="AL203" s="269"/>
      <c r="AM203" s="269"/>
      <c r="AN203" s="269"/>
      <c r="AO203" s="269"/>
    </row>
    <row r="204" spans="24:41" ht="8.4499999999999993" hidden="1" customHeight="1">
      <c r="X204" s="269"/>
      <c r="Y204" s="269"/>
      <c r="Z204" s="269"/>
      <c r="AA204" s="269"/>
      <c r="AB204" s="269"/>
      <c r="AC204" s="269"/>
      <c r="AD204" s="269"/>
      <c r="AE204" s="269"/>
      <c r="AF204" s="269"/>
      <c r="AG204" s="269"/>
      <c r="AH204" s="269"/>
      <c r="AI204" s="269"/>
      <c r="AJ204" s="269"/>
      <c r="AK204" s="269"/>
      <c r="AL204" s="269"/>
      <c r="AM204" s="269"/>
      <c r="AN204" s="269"/>
      <c r="AO204" s="269"/>
    </row>
    <row r="205" spans="24:41" ht="8.4499999999999993" hidden="1" customHeight="1">
      <c r="X205" s="259"/>
      <c r="Y205" s="259"/>
      <c r="Z205" s="259"/>
      <c r="AA205" s="259"/>
      <c r="AB205" s="259"/>
      <c r="AC205" s="259"/>
      <c r="AD205" s="259"/>
      <c r="AE205" s="259"/>
      <c r="AF205" s="259"/>
      <c r="AG205" s="259"/>
      <c r="AH205" s="259"/>
      <c r="AI205" s="259"/>
      <c r="AJ205" s="259"/>
      <c r="AK205" s="259"/>
      <c r="AL205" s="259"/>
      <c r="AM205" s="259"/>
      <c r="AN205" s="259"/>
      <c r="AO205" s="259"/>
    </row>
    <row r="206" spans="24:41" ht="8.4499999999999993" hidden="1" customHeight="1">
      <c r="X206" s="259"/>
      <c r="Y206" s="259"/>
      <c r="Z206" s="259"/>
      <c r="AA206" s="259"/>
      <c r="AB206" s="259"/>
      <c r="AC206" s="259"/>
      <c r="AD206" s="259"/>
      <c r="AE206" s="259"/>
      <c r="AF206" s="259"/>
      <c r="AG206" s="259"/>
      <c r="AH206" s="259"/>
      <c r="AI206" s="259"/>
      <c r="AJ206" s="259"/>
      <c r="AK206" s="259"/>
      <c r="AL206" s="259"/>
      <c r="AM206" s="259"/>
      <c r="AN206" s="259"/>
      <c r="AO206" s="259"/>
    </row>
    <row r="207" spans="24:41" ht="8.4499999999999993" hidden="1" customHeight="1">
      <c r="X207" s="269"/>
      <c r="Y207" s="269"/>
      <c r="Z207" s="269"/>
      <c r="AA207" s="269"/>
      <c r="AB207" s="269"/>
      <c r="AC207" s="269"/>
      <c r="AD207" s="269"/>
      <c r="AE207" s="269"/>
      <c r="AF207" s="269"/>
      <c r="AG207" s="269"/>
      <c r="AH207" s="269"/>
      <c r="AI207" s="269"/>
      <c r="AJ207" s="269"/>
      <c r="AK207" s="269"/>
      <c r="AL207" s="269"/>
      <c r="AM207" s="269"/>
      <c r="AN207" s="269"/>
      <c r="AO207" s="269"/>
    </row>
    <row r="208" spans="24:41" ht="8.4499999999999993" hidden="1" customHeight="1">
      <c r="X208" s="269"/>
      <c r="Y208" s="269"/>
      <c r="Z208" s="269"/>
      <c r="AA208" s="269"/>
      <c r="AB208" s="269"/>
      <c r="AC208" s="269"/>
      <c r="AD208" s="269"/>
      <c r="AE208" s="269"/>
      <c r="AF208" s="269"/>
      <c r="AG208" s="269"/>
      <c r="AH208" s="269"/>
      <c r="AI208" s="269"/>
      <c r="AJ208" s="269"/>
      <c r="AK208" s="269"/>
      <c r="AL208" s="269"/>
      <c r="AM208" s="269"/>
      <c r="AN208" s="269"/>
      <c r="AO208" s="269"/>
    </row>
    <row r="209" spans="24:41" ht="8.4499999999999993" hidden="1" customHeight="1">
      <c r="X209" s="269"/>
      <c r="Y209" s="269"/>
      <c r="Z209" s="269"/>
      <c r="AA209" s="269"/>
      <c r="AB209" s="269"/>
      <c r="AC209" s="269"/>
      <c r="AD209" s="269"/>
      <c r="AE209" s="269"/>
      <c r="AF209" s="269"/>
      <c r="AG209" s="269"/>
      <c r="AH209" s="269"/>
      <c r="AI209" s="269"/>
      <c r="AJ209" s="269"/>
      <c r="AK209" s="269"/>
      <c r="AL209" s="269"/>
      <c r="AM209" s="269"/>
      <c r="AN209" s="269"/>
      <c r="AO209" s="269"/>
    </row>
    <row r="210" spans="24:41" ht="8.4499999999999993" hidden="1" customHeight="1">
      <c r="X210" s="269"/>
      <c r="Y210" s="269"/>
      <c r="Z210" s="269"/>
      <c r="AA210" s="269"/>
      <c r="AB210" s="269"/>
      <c r="AC210" s="269"/>
      <c r="AD210" s="269"/>
      <c r="AE210" s="269"/>
      <c r="AF210" s="269"/>
      <c r="AG210" s="269"/>
      <c r="AH210" s="269"/>
      <c r="AI210" s="269"/>
      <c r="AJ210" s="269"/>
      <c r="AK210" s="269"/>
      <c r="AL210" s="269"/>
      <c r="AM210" s="269"/>
      <c r="AN210" s="269"/>
      <c r="AO210" s="269"/>
    </row>
    <row r="211" spans="24:41" ht="8.4499999999999993" hidden="1" customHeight="1">
      <c r="X211" s="269"/>
      <c r="Y211" s="269"/>
      <c r="Z211" s="269"/>
      <c r="AA211" s="269"/>
      <c r="AB211" s="269"/>
      <c r="AC211" s="269"/>
      <c r="AD211" s="269"/>
      <c r="AE211" s="269"/>
      <c r="AF211" s="269"/>
      <c r="AG211" s="269"/>
      <c r="AH211" s="269"/>
      <c r="AI211" s="269"/>
      <c r="AJ211" s="269"/>
      <c r="AK211" s="269"/>
      <c r="AL211" s="269"/>
      <c r="AM211" s="269"/>
      <c r="AN211" s="269"/>
      <c r="AO211" s="269"/>
    </row>
    <row r="212" spans="24:41" ht="8.4499999999999993" hidden="1" customHeight="1">
      <c r="X212" s="269"/>
      <c r="Y212" s="269"/>
      <c r="Z212" s="269"/>
      <c r="AA212" s="269"/>
      <c r="AB212" s="269"/>
      <c r="AC212" s="269"/>
      <c r="AD212" s="269"/>
      <c r="AE212" s="269"/>
      <c r="AF212" s="269"/>
      <c r="AG212" s="269"/>
      <c r="AH212" s="269"/>
      <c r="AI212" s="269"/>
      <c r="AJ212" s="269"/>
      <c r="AK212" s="269"/>
      <c r="AL212" s="269"/>
      <c r="AM212" s="269"/>
      <c r="AN212" s="269"/>
      <c r="AO212" s="269"/>
    </row>
    <row r="213" spans="24:41" ht="8.4499999999999993" hidden="1" customHeight="1">
      <c r="X213" s="269"/>
      <c r="Y213" s="269"/>
      <c r="Z213" s="269"/>
      <c r="AA213" s="269"/>
      <c r="AB213" s="269"/>
      <c r="AC213" s="269"/>
      <c r="AD213" s="269"/>
      <c r="AE213" s="269"/>
      <c r="AF213" s="269"/>
      <c r="AG213" s="269"/>
      <c r="AH213" s="269"/>
      <c r="AI213" s="269"/>
      <c r="AJ213" s="269"/>
      <c r="AK213" s="269"/>
      <c r="AL213" s="269"/>
      <c r="AM213" s="269"/>
      <c r="AN213" s="269"/>
      <c r="AO213" s="269"/>
    </row>
    <row r="214" spans="24:41" ht="8.4499999999999993" hidden="1" customHeight="1">
      <c r="X214" s="269"/>
      <c r="Y214" s="269"/>
      <c r="Z214" s="269"/>
      <c r="AA214" s="269"/>
      <c r="AB214" s="269"/>
      <c r="AC214" s="269"/>
      <c r="AD214" s="269"/>
      <c r="AE214" s="269"/>
      <c r="AF214" s="269"/>
      <c r="AG214" s="269"/>
      <c r="AH214" s="269"/>
      <c r="AI214" s="269"/>
      <c r="AJ214" s="269"/>
      <c r="AK214" s="269"/>
      <c r="AL214" s="269"/>
      <c r="AM214" s="269"/>
      <c r="AN214" s="269"/>
      <c r="AO214" s="269"/>
    </row>
    <row r="215" spans="24:41" ht="8.4499999999999993" hidden="1" customHeight="1">
      <c r="X215" s="269"/>
      <c r="Y215" s="269"/>
      <c r="Z215" s="269"/>
      <c r="AA215" s="269"/>
      <c r="AB215" s="269"/>
      <c r="AC215" s="269"/>
      <c r="AD215" s="269"/>
      <c r="AE215" s="269"/>
      <c r="AF215" s="269"/>
      <c r="AG215" s="269"/>
      <c r="AH215" s="269"/>
      <c r="AI215" s="269"/>
      <c r="AJ215" s="269"/>
      <c r="AK215" s="269"/>
      <c r="AL215" s="269"/>
      <c r="AM215" s="269"/>
      <c r="AN215" s="269"/>
      <c r="AO215" s="269"/>
    </row>
    <row r="216" spans="24:41" ht="8.4499999999999993" hidden="1" customHeight="1">
      <c r="X216" s="269"/>
      <c r="Y216" s="269"/>
      <c r="Z216" s="269"/>
      <c r="AA216" s="269"/>
      <c r="AB216" s="269"/>
      <c r="AC216" s="269"/>
      <c r="AD216" s="269"/>
      <c r="AE216" s="269"/>
      <c r="AF216" s="269"/>
      <c r="AG216" s="269"/>
      <c r="AH216" s="269"/>
      <c r="AI216" s="269"/>
      <c r="AJ216" s="269"/>
      <c r="AK216" s="269"/>
      <c r="AL216" s="269"/>
      <c r="AM216" s="269"/>
      <c r="AN216" s="269"/>
      <c r="AO216" s="269"/>
    </row>
    <row r="217" spans="24:41" ht="8.4499999999999993" hidden="1" customHeight="1">
      <c r="X217" s="269"/>
      <c r="Y217" s="269"/>
      <c r="Z217" s="269"/>
      <c r="AA217" s="269"/>
      <c r="AB217" s="269"/>
      <c r="AC217" s="269"/>
      <c r="AD217" s="269"/>
      <c r="AE217" s="269"/>
      <c r="AF217" s="269"/>
      <c r="AG217" s="269"/>
      <c r="AH217" s="269"/>
      <c r="AI217" s="269"/>
      <c r="AJ217" s="269"/>
      <c r="AK217" s="269"/>
      <c r="AL217" s="269"/>
      <c r="AM217" s="269"/>
      <c r="AN217" s="269"/>
      <c r="AO217" s="269"/>
    </row>
    <row r="218" spans="24:41" ht="8.4499999999999993" hidden="1" customHeight="1">
      <c r="X218" s="269"/>
      <c r="Y218" s="269"/>
      <c r="Z218" s="269"/>
      <c r="AA218" s="269"/>
      <c r="AB218" s="269"/>
      <c r="AC218" s="269"/>
      <c r="AD218" s="269"/>
      <c r="AE218" s="269"/>
      <c r="AF218" s="269"/>
      <c r="AG218" s="269"/>
      <c r="AH218" s="269"/>
      <c r="AI218" s="269"/>
      <c r="AJ218" s="269"/>
      <c r="AK218" s="269"/>
      <c r="AL218" s="269"/>
      <c r="AM218" s="269"/>
      <c r="AN218" s="269"/>
      <c r="AO218" s="269"/>
    </row>
    <row r="219" spans="24:41" ht="8.4499999999999993" hidden="1" customHeight="1">
      <c r="X219" s="269"/>
      <c r="Y219" s="269"/>
      <c r="Z219" s="269"/>
      <c r="AA219" s="269"/>
      <c r="AB219" s="269"/>
      <c r="AC219" s="269"/>
      <c r="AD219" s="269"/>
      <c r="AE219" s="269"/>
      <c r="AF219" s="269"/>
      <c r="AG219" s="269"/>
      <c r="AH219" s="269"/>
      <c r="AI219" s="269"/>
      <c r="AJ219" s="269"/>
      <c r="AK219" s="269"/>
      <c r="AL219" s="269"/>
      <c r="AM219" s="269"/>
      <c r="AN219" s="269"/>
      <c r="AO219" s="269"/>
    </row>
    <row r="220" spans="24:41" ht="8.4499999999999993" hidden="1" customHeight="1">
      <c r="X220" s="269"/>
      <c r="Y220" s="269"/>
      <c r="Z220" s="269"/>
      <c r="AA220" s="269"/>
      <c r="AB220" s="269"/>
      <c r="AC220" s="269"/>
      <c r="AD220" s="269"/>
      <c r="AE220" s="269"/>
      <c r="AF220" s="269"/>
      <c r="AG220" s="269"/>
      <c r="AH220" s="269"/>
      <c r="AI220" s="269"/>
      <c r="AJ220" s="269"/>
      <c r="AK220" s="269"/>
      <c r="AL220" s="269"/>
      <c r="AM220" s="269"/>
      <c r="AN220" s="269"/>
      <c r="AO220" s="269"/>
    </row>
    <row r="221" spans="24:41" ht="8.4499999999999993" hidden="1" customHeight="1">
      <c r="X221" s="269"/>
      <c r="Y221" s="269"/>
      <c r="Z221" s="269"/>
      <c r="AA221" s="269"/>
      <c r="AB221" s="269"/>
      <c r="AC221" s="269"/>
      <c r="AD221" s="269"/>
      <c r="AE221" s="269"/>
      <c r="AF221" s="269"/>
      <c r="AG221" s="269"/>
      <c r="AH221" s="269"/>
      <c r="AI221" s="269"/>
      <c r="AJ221" s="269"/>
      <c r="AK221" s="269"/>
      <c r="AL221" s="269"/>
      <c r="AM221" s="269"/>
      <c r="AN221" s="269"/>
      <c r="AO221" s="269"/>
    </row>
    <row r="222" spans="24:41" ht="8.4499999999999993" hidden="1" customHeight="1">
      <c r="X222" s="269"/>
      <c r="Y222" s="269"/>
      <c r="Z222" s="269"/>
      <c r="AA222" s="269"/>
      <c r="AB222" s="269"/>
      <c r="AC222" s="269"/>
      <c r="AD222" s="269"/>
      <c r="AE222" s="269"/>
      <c r="AF222" s="269"/>
      <c r="AG222" s="269"/>
      <c r="AH222" s="269"/>
      <c r="AI222" s="269"/>
      <c r="AJ222" s="269"/>
      <c r="AK222" s="269"/>
      <c r="AL222" s="269"/>
      <c r="AM222" s="269"/>
      <c r="AN222" s="269"/>
      <c r="AO222" s="269"/>
    </row>
    <row r="223" spans="24:41" ht="8.4499999999999993" hidden="1" customHeight="1">
      <c r="X223" s="269"/>
      <c r="Y223" s="269"/>
      <c r="Z223" s="269"/>
      <c r="AA223" s="269"/>
      <c r="AB223" s="269"/>
      <c r="AC223" s="269"/>
      <c r="AD223" s="269"/>
      <c r="AE223" s="269"/>
      <c r="AF223" s="269"/>
      <c r="AG223" s="269"/>
      <c r="AH223" s="269"/>
      <c r="AI223" s="269"/>
      <c r="AJ223" s="269"/>
      <c r="AK223" s="269"/>
      <c r="AL223" s="269"/>
      <c r="AM223" s="269"/>
      <c r="AN223" s="269"/>
      <c r="AO223" s="269"/>
    </row>
    <row r="224" spans="24:41" ht="8.4499999999999993" hidden="1" customHeight="1">
      <c r="X224" s="269"/>
      <c r="Y224" s="269"/>
      <c r="Z224" s="269"/>
      <c r="AA224" s="269"/>
      <c r="AB224" s="269"/>
      <c r="AC224" s="269"/>
      <c r="AD224" s="269"/>
      <c r="AE224" s="269"/>
      <c r="AF224" s="269"/>
      <c r="AG224" s="269"/>
      <c r="AH224" s="269"/>
      <c r="AI224" s="269"/>
      <c r="AJ224" s="269"/>
      <c r="AK224" s="269"/>
      <c r="AL224" s="269"/>
      <c r="AM224" s="269"/>
      <c r="AN224" s="269"/>
      <c r="AO224" s="269"/>
    </row>
    <row r="225" spans="24:41" ht="8.4499999999999993" hidden="1" customHeight="1">
      <c r="X225" s="269"/>
      <c r="Y225" s="269"/>
      <c r="Z225" s="269"/>
      <c r="AA225" s="269"/>
      <c r="AB225" s="269"/>
      <c r="AC225" s="269"/>
      <c r="AD225" s="269"/>
      <c r="AE225" s="269"/>
      <c r="AF225" s="269"/>
      <c r="AG225" s="269"/>
      <c r="AH225" s="269"/>
      <c r="AI225" s="269"/>
      <c r="AJ225" s="269"/>
      <c r="AK225" s="269"/>
      <c r="AL225" s="269"/>
      <c r="AM225" s="269"/>
      <c r="AN225" s="269"/>
      <c r="AO225" s="269"/>
    </row>
    <row r="226" spans="24:41" ht="8.4499999999999993" hidden="1" customHeight="1">
      <c r="X226" s="269"/>
      <c r="Y226" s="269"/>
      <c r="Z226" s="269"/>
      <c r="AA226" s="269"/>
      <c r="AB226" s="269"/>
      <c r="AC226" s="269"/>
      <c r="AD226" s="269"/>
      <c r="AE226" s="269"/>
      <c r="AF226" s="269"/>
      <c r="AG226" s="269"/>
      <c r="AH226" s="269"/>
      <c r="AI226" s="269"/>
      <c r="AJ226" s="269"/>
      <c r="AK226" s="269"/>
      <c r="AL226" s="269"/>
      <c r="AM226" s="269"/>
      <c r="AN226" s="269"/>
      <c r="AO226" s="269"/>
    </row>
    <row r="227" spans="24:41" ht="8.4499999999999993" hidden="1" customHeight="1">
      <c r="X227" s="269"/>
      <c r="Y227" s="269"/>
      <c r="Z227" s="269"/>
      <c r="AA227" s="269"/>
      <c r="AB227" s="269"/>
      <c r="AC227" s="269"/>
      <c r="AD227" s="269"/>
      <c r="AE227" s="269"/>
      <c r="AF227" s="269"/>
      <c r="AG227" s="269"/>
      <c r="AH227" s="269"/>
      <c r="AI227" s="269"/>
      <c r="AJ227" s="269"/>
      <c r="AK227" s="269"/>
      <c r="AL227" s="269"/>
      <c r="AM227" s="269"/>
      <c r="AN227" s="269"/>
      <c r="AO227" s="269"/>
    </row>
    <row r="228" spans="24:41" ht="8.4499999999999993" hidden="1" customHeight="1">
      <c r="X228" s="269"/>
      <c r="Y228" s="269"/>
      <c r="Z228" s="269"/>
      <c r="AA228" s="269"/>
      <c r="AB228" s="269"/>
      <c r="AC228" s="269"/>
      <c r="AD228" s="269"/>
      <c r="AE228" s="269"/>
      <c r="AF228" s="269"/>
      <c r="AG228" s="269"/>
      <c r="AH228" s="269"/>
      <c r="AI228" s="269"/>
      <c r="AJ228" s="269"/>
      <c r="AK228" s="269"/>
      <c r="AL228" s="269"/>
      <c r="AM228" s="269"/>
      <c r="AN228" s="269"/>
      <c r="AO228" s="269"/>
    </row>
    <row r="229" spans="24:41" ht="8.4499999999999993" hidden="1" customHeight="1">
      <c r="X229" s="269"/>
      <c r="Y229" s="269"/>
      <c r="Z229" s="269"/>
      <c r="AA229" s="269"/>
      <c r="AB229" s="269"/>
      <c r="AC229" s="269"/>
      <c r="AD229" s="269"/>
      <c r="AE229" s="269"/>
      <c r="AF229" s="269"/>
      <c r="AG229" s="269"/>
      <c r="AH229" s="269"/>
      <c r="AI229" s="269"/>
      <c r="AJ229" s="269"/>
      <c r="AK229" s="269"/>
      <c r="AL229" s="269"/>
      <c r="AM229" s="269"/>
      <c r="AN229" s="269"/>
      <c r="AO229" s="269"/>
    </row>
    <row r="230" spans="24:41" ht="8.4499999999999993" hidden="1" customHeight="1">
      <c r="X230" s="269"/>
      <c r="Y230" s="269"/>
      <c r="Z230" s="269"/>
      <c r="AA230" s="269"/>
      <c r="AB230" s="269"/>
      <c r="AC230" s="269"/>
      <c r="AD230" s="269"/>
      <c r="AE230" s="269"/>
      <c r="AF230" s="269"/>
      <c r="AG230" s="269"/>
      <c r="AH230" s="269"/>
      <c r="AI230" s="269"/>
      <c r="AJ230" s="269"/>
      <c r="AK230" s="269"/>
      <c r="AL230" s="269"/>
      <c r="AM230" s="269"/>
      <c r="AN230" s="269"/>
      <c r="AO230" s="269"/>
    </row>
    <row r="231" spans="24:41" ht="8.4499999999999993" hidden="1" customHeight="1">
      <c r="X231" s="269"/>
      <c r="Y231" s="269"/>
      <c r="Z231" s="269"/>
      <c r="AA231" s="269"/>
      <c r="AB231" s="269"/>
      <c r="AC231" s="269"/>
      <c r="AD231" s="269"/>
      <c r="AE231" s="269"/>
      <c r="AF231" s="269"/>
      <c r="AG231" s="269"/>
      <c r="AH231" s="269"/>
      <c r="AI231" s="269"/>
      <c r="AJ231" s="269"/>
      <c r="AK231" s="269"/>
      <c r="AL231" s="269"/>
      <c r="AM231" s="269"/>
      <c r="AN231" s="269"/>
      <c r="AO231" s="269"/>
    </row>
    <row r="232" spans="24:41" ht="8.4499999999999993" hidden="1" customHeight="1">
      <c r="X232" s="269"/>
      <c r="Y232" s="269"/>
      <c r="Z232" s="269"/>
      <c r="AA232" s="269"/>
      <c r="AB232" s="269"/>
      <c r="AC232" s="269"/>
      <c r="AD232" s="269"/>
      <c r="AE232" s="269"/>
      <c r="AF232" s="269"/>
      <c r="AG232" s="269"/>
      <c r="AH232" s="269"/>
      <c r="AI232" s="269"/>
      <c r="AJ232" s="269"/>
      <c r="AK232" s="269"/>
      <c r="AL232" s="269"/>
      <c r="AM232" s="269"/>
      <c r="AN232" s="269"/>
      <c r="AO232" s="269"/>
    </row>
    <row r="233" spans="24:41" ht="8.4499999999999993" hidden="1" customHeight="1">
      <c r="X233" s="269"/>
      <c r="Y233" s="269"/>
      <c r="Z233" s="269"/>
      <c r="AA233" s="269"/>
      <c r="AB233" s="269"/>
      <c r="AC233" s="269"/>
      <c r="AD233" s="269"/>
      <c r="AE233" s="269"/>
      <c r="AF233" s="269"/>
      <c r="AG233" s="269"/>
      <c r="AH233" s="269"/>
      <c r="AI233" s="269"/>
      <c r="AJ233" s="269"/>
      <c r="AK233" s="269"/>
      <c r="AL233" s="269"/>
      <c r="AM233" s="269"/>
      <c r="AN233" s="269"/>
      <c r="AO233" s="269"/>
    </row>
    <row r="234" spans="24:41" ht="8.4499999999999993" hidden="1" customHeight="1">
      <c r="X234" s="269"/>
      <c r="Y234" s="269"/>
      <c r="Z234" s="269"/>
      <c r="AA234" s="269"/>
      <c r="AB234" s="269"/>
      <c r="AC234" s="269"/>
      <c r="AD234" s="269"/>
      <c r="AE234" s="269"/>
      <c r="AF234" s="269"/>
      <c r="AG234" s="269"/>
      <c r="AH234" s="269"/>
      <c r="AI234" s="269"/>
      <c r="AJ234" s="269"/>
      <c r="AK234" s="269"/>
      <c r="AL234" s="269"/>
      <c r="AM234" s="269"/>
      <c r="AN234" s="269"/>
      <c r="AO234" s="269"/>
    </row>
    <row r="235" spans="24:41" ht="8.4499999999999993" hidden="1" customHeight="1">
      <c r="X235" s="269"/>
      <c r="Y235" s="269"/>
      <c r="Z235" s="269"/>
      <c r="AA235" s="269"/>
      <c r="AB235" s="269"/>
      <c r="AC235" s="269"/>
      <c r="AD235" s="269"/>
      <c r="AE235" s="269"/>
      <c r="AF235" s="269"/>
      <c r="AG235" s="269"/>
      <c r="AH235" s="269"/>
      <c r="AI235" s="269"/>
      <c r="AJ235" s="269"/>
      <c r="AK235" s="269"/>
      <c r="AL235" s="269"/>
      <c r="AM235" s="269"/>
      <c r="AN235" s="269"/>
      <c r="AO235" s="269"/>
    </row>
    <row r="236" spans="24:41" ht="8.4499999999999993" hidden="1" customHeight="1">
      <c r="X236" s="269"/>
      <c r="Y236" s="269"/>
      <c r="Z236" s="269"/>
      <c r="AA236" s="269"/>
      <c r="AB236" s="269"/>
      <c r="AC236" s="269"/>
      <c r="AD236" s="269"/>
      <c r="AE236" s="269"/>
      <c r="AF236" s="269"/>
      <c r="AG236" s="269"/>
      <c r="AH236" s="269"/>
      <c r="AI236" s="269"/>
      <c r="AJ236" s="269"/>
      <c r="AK236" s="269"/>
      <c r="AL236" s="269"/>
      <c r="AM236" s="269"/>
      <c r="AN236" s="269"/>
      <c r="AO236" s="269"/>
    </row>
    <row r="237" spans="24:41" ht="8.4499999999999993" hidden="1" customHeight="1">
      <c r="X237" s="269"/>
      <c r="Y237" s="269"/>
      <c r="Z237" s="269"/>
      <c r="AA237" s="269"/>
      <c r="AB237" s="269"/>
      <c r="AC237" s="269"/>
      <c r="AD237" s="269"/>
      <c r="AE237" s="269"/>
      <c r="AF237" s="269"/>
      <c r="AG237" s="269"/>
      <c r="AH237" s="269"/>
      <c r="AI237" s="269"/>
      <c r="AJ237" s="269"/>
      <c r="AK237" s="269"/>
      <c r="AL237" s="269"/>
      <c r="AM237" s="269"/>
      <c r="AN237" s="269"/>
      <c r="AO237" s="269"/>
    </row>
    <row r="238" spans="24:41" ht="8.4499999999999993" hidden="1" customHeight="1">
      <c r="X238" s="269"/>
      <c r="Y238" s="269"/>
      <c r="Z238" s="269"/>
      <c r="AA238" s="269"/>
      <c r="AB238" s="269"/>
      <c r="AC238" s="269"/>
      <c r="AD238" s="269"/>
      <c r="AE238" s="269"/>
      <c r="AF238" s="269"/>
      <c r="AG238" s="269"/>
      <c r="AH238" s="269"/>
      <c r="AI238" s="269"/>
      <c r="AJ238" s="269"/>
      <c r="AK238" s="269"/>
      <c r="AL238" s="269"/>
      <c r="AM238" s="269"/>
      <c r="AN238" s="269"/>
      <c r="AO238" s="269"/>
    </row>
    <row r="239" spans="24:41" ht="8.4499999999999993" hidden="1" customHeight="1">
      <c r="X239" s="269"/>
      <c r="Y239" s="269"/>
      <c r="Z239" s="269"/>
      <c r="AA239" s="269"/>
      <c r="AB239" s="269"/>
      <c r="AC239" s="269"/>
      <c r="AD239" s="269"/>
      <c r="AE239" s="269"/>
      <c r="AF239" s="269"/>
      <c r="AG239" s="269"/>
      <c r="AH239" s="269"/>
      <c r="AI239" s="269"/>
      <c r="AJ239" s="269"/>
      <c r="AK239" s="269"/>
      <c r="AL239" s="269"/>
      <c r="AM239" s="269"/>
      <c r="AN239" s="269"/>
      <c r="AO239" s="269"/>
    </row>
    <row r="240" spans="24:41" ht="8.4499999999999993" hidden="1" customHeight="1">
      <c r="X240" s="269"/>
      <c r="Y240" s="269"/>
      <c r="Z240" s="269"/>
      <c r="AA240" s="269"/>
      <c r="AB240" s="269"/>
      <c r="AC240" s="269"/>
      <c r="AD240" s="269"/>
      <c r="AE240" s="269"/>
      <c r="AF240" s="269"/>
      <c r="AG240" s="269"/>
      <c r="AH240" s="269"/>
      <c r="AI240" s="269"/>
      <c r="AJ240" s="269"/>
      <c r="AK240" s="269"/>
      <c r="AL240" s="269"/>
      <c r="AM240" s="269"/>
      <c r="AN240" s="269"/>
      <c r="AO240" s="269"/>
    </row>
    <row r="241" spans="24:41" ht="8.4499999999999993" hidden="1" customHeight="1">
      <c r="X241" s="269"/>
      <c r="Y241" s="269"/>
      <c r="Z241" s="269"/>
      <c r="AA241" s="269"/>
      <c r="AB241" s="269"/>
      <c r="AC241" s="269"/>
      <c r="AD241" s="269"/>
      <c r="AE241" s="269"/>
      <c r="AF241" s="269"/>
      <c r="AG241" s="269"/>
      <c r="AH241" s="269"/>
      <c r="AI241" s="269"/>
      <c r="AJ241" s="269"/>
      <c r="AK241" s="269"/>
      <c r="AL241" s="269"/>
      <c r="AM241" s="269"/>
      <c r="AN241" s="269"/>
      <c r="AO241" s="269"/>
    </row>
    <row r="242" spans="24:41" ht="8.4499999999999993" hidden="1" customHeight="1">
      <c r="X242" s="269"/>
      <c r="Y242" s="269"/>
      <c r="Z242" s="269"/>
      <c r="AA242" s="269"/>
      <c r="AB242" s="269"/>
      <c r="AC242" s="269"/>
      <c r="AD242" s="269"/>
      <c r="AE242" s="269"/>
      <c r="AF242" s="269"/>
      <c r="AG242" s="269"/>
      <c r="AH242" s="269"/>
      <c r="AI242" s="269"/>
      <c r="AJ242" s="269"/>
      <c r="AK242" s="269"/>
      <c r="AL242" s="269"/>
      <c r="AM242" s="269"/>
      <c r="AN242" s="269"/>
      <c r="AO242" s="269"/>
    </row>
    <row r="243" spans="24:41" ht="8.4499999999999993" hidden="1" customHeight="1">
      <c r="X243" s="269"/>
      <c r="Y243" s="269"/>
      <c r="Z243" s="269"/>
      <c r="AA243" s="269"/>
      <c r="AB243" s="269"/>
      <c r="AC243" s="269"/>
      <c r="AD243" s="269"/>
      <c r="AE243" s="269"/>
      <c r="AF243" s="269"/>
      <c r="AG243" s="269"/>
      <c r="AH243" s="269"/>
      <c r="AI243" s="269"/>
      <c r="AJ243" s="269"/>
      <c r="AK243" s="269"/>
      <c r="AL243" s="269"/>
      <c r="AM243" s="269"/>
      <c r="AN243" s="269"/>
      <c r="AO243" s="269"/>
    </row>
    <row r="244" spans="24:41" ht="8.4499999999999993" hidden="1" customHeight="1">
      <c r="X244" s="269"/>
      <c r="Y244" s="269"/>
      <c r="Z244" s="269"/>
      <c r="AA244" s="269"/>
      <c r="AB244" s="269"/>
      <c r="AC244" s="269"/>
      <c r="AD244" s="269"/>
      <c r="AE244" s="269"/>
      <c r="AF244" s="269"/>
      <c r="AG244" s="269"/>
      <c r="AH244" s="269"/>
      <c r="AI244" s="269"/>
      <c r="AJ244" s="269"/>
      <c r="AK244" s="269"/>
      <c r="AL244" s="269"/>
      <c r="AM244" s="269"/>
      <c r="AN244" s="269"/>
      <c r="AO244" s="269"/>
    </row>
    <row r="245" spans="24:41" ht="8.4499999999999993" hidden="1" customHeight="1">
      <c r="X245" s="269"/>
      <c r="Y245" s="269"/>
      <c r="Z245" s="269"/>
      <c r="AA245" s="269"/>
      <c r="AB245" s="269"/>
      <c r="AC245" s="269"/>
      <c r="AD245" s="269"/>
      <c r="AE245" s="269"/>
      <c r="AF245" s="269"/>
      <c r="AG245" s="269"/>
      <c r="AH245" s="269"/>
      <c r="AI245" s="269"/>
      <c r="AJ245" s="269"/>
      <c r="AK245" s="269"/>
      <c r="AL245" s="269"/>
      <c r="AM245" s="269"/>
      <c r="AN245" s="269"/>
      <c r="AO245" s="269"/>
    </row>
    <row r="246" spans="24:41" ht="8.4499999999999993" hidden="1" customHeight="1">
      <c r="X246" s="269"/>
      <c r="Y246" s="269"/>
      <c r="Z246" s="269"/>
      <c r="AA246" s="269"/>
      <c r="AB246" s="269"/>
      <c r="AC246" s="269"/>
      <c r="AD246" s="269"/>
      <c r="AE246" s="269"/>
      <c r="AF246" s="269"/>
      <c r="AG246" s="269"/>
      <c r="AH246" s="269"/>
      <c r="AI246" s="269"/>
      <c r="AJ246" s="269"/>
      <c r="AK246" s="269"/>
      <c r="AL246" s="269"/>
      <c r="AM246" s="269"/>
      <c r="AN246" s="269"/>
      <c r="AO246" s="269"/>
    </row>
    <row r="247" spans="24:41" ht="8.4499999999999993" hidden="1" customHeight="1">
      <c r="X247" s="269"/>
      <c r="Y247" s="269"/>
      <c r="Z247" s="269"/>
      <c r="AA247" s="269"/>
      <c r="AB247" s="269"/>
      <c r="AC247" s="269"/>
      <c r="AD247" s="269"/>
      <c r="AE247" s="269"/>
      <c r="AF247" s="269"/>
      <c r="AG247" s="269"/>
      <c r="AH247" s="269"/>
      <c r="AI247" s="269"/>
      <c r="AJ247" s="269"/>
      <c r="AK247" s="269"/>
      <c r="AL247" s="269"/>
      <c r="AM247" s="269"/>
      <c r="AN247" s="269"/>
      <c r="AO247" s="269"/>
    </row>
    <row r="248" spans="24:41" ht="8.4499999999999993" hidden="1" customHeight="1">
      <c r="X248" s="269"/>
      <c r="Y248" s="269"/>
      <c r="Z248" s="269"/>
      <c r="AA248" s="269"/>
      <c r="AB248" s="269"/>
      <c r="AC248" s="269"/>
      <c r="AD248" s="269"/>
      <c r="AE248" s="269"/>
      <c r="AF248" s="269"/>
      <c r="AG248" s="269"/>
      <c r="AH248" s="269"/>
      <c r="AI248" s="269"/>
      <c r="AJ248" s="269"/>
      <c r="AK248" s="269"/>
      <c r="AL248" s="269"/>
      <c r="AM248" s="269"/>
      <c r="AN248" s="269"/>
      <c r="AO248" s="269"/>
    </row>
    <row r="249" spans="24:41" ht="8.4499999999999993" hidden="1" customHeight="1">
      <c r="X249" s="269"/>
      <c r="Y249" s="269"/>
      <c r="Z249" s="269"/>
      <c r="AA249" s="269"/>
      <c r="AB249" s="269"/>
      <c r="AC249" s="269"/>
      <c r="AD249" s="269"/>
      <c r="AE249" s="269"/>
      <c r="AF249" s="269"/>
      <c r="AG249" s="269"/>
      <c r="AH249" s="269"/>
      <c r="AI249" s="269"/>
      <c r="AJ249" s="269"/>
      <c r="AK249" s="269"/>
      <c r="AL249" s="269"/>
      <c r="AM249" s="269"/>
      <c r="AN249" s="269"/>
      <c r="AO249" s="269"/>
    </row>
    <row r="250" spans="24:41" ht="8.4499999999999993" hidden="1" customHeight="1">
      <c r="X250" s="269"/>
      <c r="Y250" s="269"/>
      <c r="Z250" s="269"/>
      <c r="AA250" s="269"/>
      <c r="AB250" s="269"/>
      <c r="AC250" s="269"/>
      <c r="AD250" s="269"/>
      <c r="AE250" s="269"/>
      <c r="AF250" s="269"/>
      <c r="AG250" s="269"/>
      <c r="AH250" s="269"/>
      <c r="AI250" s="269"/>
      <c r="AJ250" s="269"/>
      <c r="AK250" s="269"/>
      <c r="AL250" s="269"/>
      <c r="AM250" s="269"/>
      <c r="AN250" s="269"/>
      <c r="AO250" s="269"/>
    </row>
    <row r="251" spans="24:41" ht="8.4499999999999993" hidden="1" customHeight="1">
      <c r="X251" s="269"/>
      <c r="Y251" s="269"/>
      <c r="Z251" s="269"/>
      <c r="AA251" s="269"/>
      <c r="AB251" s="269"/>
      <c r="AC251" s="269"/>
      <c r="AD251" s="269"/>
      <c r="AE251" s="269"/>
      <c r="AF251" s="269"/>
      <c r="AG251" s="269"/>
      <c r="AH251" s="269"/>
      <c r="AI251" s="269"/>
      <c r="AJ251" s="269"/>
      <c r="AK251" s="269"/>
      <c r="AL251" s="269"/>
      <c r="AM251" s="269"/>
      <c r="AN251" s="269"/>
      <c r="AO251" s="269"/>
    </row>
    <row r="252" spans="24:41" ht="8.4499999999999993" hidden="1" customHeight="1">
      <c r="X252" s="269"/>
      <c r="Y252" s="269"/>
      <c r="Z252" s="269"/>
      <c r="AA252" s="269"/>
      <c r="AB252" s="269"/>
      <c r="AC252" s="269"/>
      <c r="AD252" s="269"/>
      <c r="AE252" s="269"/>
      <c r="AF252" s="269"/>
      <c r="AG252" s="269"/>
      <c r="AH252" s="269"/>
      <c r="AI252" s="269"/>
      <c r="AJ252" s="269"/>
      <c r="AK252" s="269"/>
      <c r="AL252" s="269"/>
      <c r="AM252" s="269"/>
      <c r="AN252" s="269"/>
      <c r="AO252" s="269"/>
    </row>
    <row r="253" spans="24:41" ht="8.4499999999999993" hidden="1" customHeight="1">
      <c r="X253" s="269"/>
      <c r="Y253" s="269"/>
      <c r="Z253" s="269"/>
      <c r="AA253" s="269"/>
      <c r="AB253" s="269"/>
      <c r="AC253" s="269"/>
      <c r="AD253" s="269"/>
      <c r="AE253" s="269"/>
      <c r="AF253" s="269"/>
      <c r="AG253" s="269"/>
      <c r="AH253" s="269"/>
      <c r="AI253" s="269"/>
      <c r="AJ253" s="269"/>
      <c r="AK253" s="269"/>
      <c r="AL253" s="269"/>
      <c r="AM253" s="269"/>
      <c r="AN253" s="269"/>
      <c r="AO253" s="269"/>
    </row>
    <row r="254" spans="24:41" ht="8.4499999999999993" hidden="1" customHeight="1">
      <c r="X254" s="269"/>
      <c r="Y254" s="269"/>
      <c r="Z254" s="269"/>
      <c r="AA254" s="269"/>
      <c r="AB254" s="269"/>
      <c r="AC254" s="269"/>
      <c r="AD254" s="269"/>
      <c r="AE254" s="269"/>
      <c r="AF254" s="269"/>
      <c r="AG254" s="269"/>
      <c r="AH254" s="269"/>
      <c r="AI254" s="269"/>
      <c r="AJ254" s="269"/>
      <c r="AK254" s="269"/>
      <c r="AL254" s="269"/>
      <c r="AM254" s="269"/>
      <c r="AN254" s="269"/>
      <c r="AO254" s="269"/>
    </row>
    <row r="255" spans="24:41" ht="8.4499999999999993" hidden="1" customHeight="1">
      <c r="X255" s="271"/>
      <c r="Y255" s="271"/>
      <c r="Z255" s="271"/>
      <c r="AA255" s="271"/>
      <c r="AB255" s="271"/>
      <c r="AC255" s="271"/>
      <c r="AD255" s="271"/>
      <c r="AE255" s="271"/>
      <c r="AF255" s="271"/>
      <c r="AG255" s="271"/>
      <c r="AH255" s="271"/>
      <c r="AI255" s="271"/>
      <c r="AJ255" s="271"/>
      <c r="AK255" s="271"/>
      <c r="AL255" s="271"/>
      <c r="AM255" s="271"/>
      <c r="AN255" s="271"/>
      <c r="AO255" s="271"/>
    </row>
    <row r="256" spans="24:41" ht="8.4499999999999993" hidden="1" customHeight="1">
      <c r="X256" s="269"/>
      <c r="Y256" s="269"/>
      <c r="Z256" s="269"/>
      <c r="AA256" s="269"/>
      <c r="AB256" s="269"/>
      <c r="AC256" s="269"/>
      <c r="AD256" s="269"/>
      <c r="AE256" s="269"/>
      <c r="AF256" s="269"/>
      <c r="AG256" s="269"/>
      <c r="AH256" s="269"/>
      <c r="AI256" s="269"/>
      <c r="AJ256" s="269"/>
      <c r="AK256" s="269"/>
      <c r="AL256" s="269"/>
      <c r="AM256" s="269"/>
      <c r="AN256" s="269"/>
      <c r="AO256" s="269"/>
    </row>
    <row r="257" spans="24:41" ht="8.4499999999999993" hidden="1" customHeight="1">
      <c r="X257" s="269"/>
      <c r="Y257" s="269"/>
      <c r="Z257" s="269"/>
      <c r="AA257" s="269"/>
      <c r="AB257" s="269"/>
      <c r="AC257" s="269"/>
      <c r="AD257" s="269"/>
      <c r="AE257" s="269"/>
      <c r="AF257" s="269"/>
      <c r="AG257" s="269"/>
      <c r="AH257" s="269"/>
      <c r="AI257" s="269"/>
      <c r="AJ257" s="269"/>
      <c r="AK257" s="269"/>
      <c r="AL257" s="269"/>
      <c r="AM257" s="269"/>
      <c r="AN257" s="269"/>
      <c r="AO257" s="269"/>
    </row>
    <row r="258" spans="24:41" ht="8.4499999999999993" hidden="1" customHeight="1">
      <c r="X258" s="269"/>
      <c r="Y258" s="269"/>
      <c r="Z258" s="269"/>
      <c r="AA258" s="269"/>
      <c r="AB258" s="269"/>
      <c r="AC258" s="269"/>
      <c r="AD258" s="269"/>
      <c r="AE258" s="269"/>
      <c r="AF258" s="269"/>
      <c r="AG258" s="269"/>
      <c r="AH258" s="269"/>
      <c r="AI258" s="269"/>
      <c r="AJ258" s="269"/>
      <c r="AK258" s="269"/>
      <c r="AL258" s="269"/>
      <c r="AM258" s="269"/>
      <c r="AN258" s="269"/>
      <c r="AO258" s="269"/>
    </row>
    <row r="259" spans="24:41" ht="8.4499999999999993" hidden="1" customHeight="1">
      <c r="X259" s="269"/>
      <c r="Y259" s="269"/>
      <c r="Z259" s="269"/>
      <c r="AA259" s="269"/>
      <c r="AB259" s="269"/>
      <c r="AC259" s="269"/>
      <c r="AD259" s="269"/>
      <c r="AE259" s="269"/>
      <c r="AF259" s="269"/>
      <c r="AG259" s="269"/>
      <c r="AH259" s="269"/>
      <c r="AI259" s="269"/>
      <c r="AJ259" s="269"/>
      <c r="AK259" s="269"/>
      <c r="AL259" s="269"/>
      <c r="AM259" s="269"/>
      <c r="AN259" s="269"/>
      <c r="AO259" s="269"/>
    </row>
    <row r="260" spans="24:41" ht="8.4499999999999993" hidden="1" customHeight="1">
      <c r="X260" s="269"/>
      <c r="Y260" s="269"/>
      <c r="Z260" s="269"/>
      <c r="AA260" s="269"/>
      <c r="AB260" s="269"/>
      <c r="AC260" s="269"/>
      <c r="AD260" s="269"/>
      <c r="AE260" s="269"/>
      <c r="AF260" s="269"/>
      <c r="AG260" s="269"/>
      <c r="AH260" s="269"/>
      <c r="AI260" s="269"/>
      <c r="AJ260" s="269"/>
      <c r="AK260" s="269"/>
      <c r="AL260" s="269"/>
      <c r="AM260" s="269"/>
      <c r="AN260" s="269"/>
      <c r="AO260" s="269"/>
    </row>
    <row r="261" spans="24:41" ht="8.4499999999999993" hidden="1" customHeight="1">
      <c r="X261" s="269"/>
      <c r="Y261" s="269"/>
      <c r="Z261" s="269"/>
      <c r="AA261" s="269"/>
      <c r="AB261" s="269"/>
      <c r="AC261" s="269"/>
      <c r="AD261" s="269"/>
      <c r="AE261" s="269"/>
      <c r="AF261" s="269"/>
      <c r="AG261" s="269"/>
      <c r="AH261" s="269"/>
      <c r="AI261" s="269"/>
      <c r="AJ261" s="269"/>
      <c r="AK261" s="269"/>
      <c r="AL261" s="269"/>
      <c r="AM261" s="269"/>
      <c r="AN261" s="269"/>
      <c r="AO261" s="269"/>
    </row>
    <row r="262" spans="24:41" ht="8.4499999999999993" hidden="1" customHeight="1">
      <c r="X262" s="269"/>
      <c r="Y262" s="269"/>
      <c r="Z262" s="269"/>
      <c r="AA262" s="269"/>
      <c r="AB262" s="269"/>
      <c r="AC262" s="269"/>
      <c r="AD262" s="269"/>
      <c r="AE262" s="269"/>
      <c r="AF262" s="269"/>
      <c r="AG262" s="269"/>
      <c r="AH262" s="269"/>
      <c r="AI262" s="269"/>
      <c r="AJ262" s="269"/>
      <c r="AK262" s="269"/>
      <c r="AL262" s="269"/>
      <c r="AM262" s="269"/>
      <c r="AN262" s="269"/>
      <c r="AO262" s="269"/>
    </row>
    <row r="263" spans="24:41" ht="8.4499999999999993" hidden="1" customHeight="1">
      <c r="X263" s="269"/>
      <c r="Y263" s="269"/>
      <c r="Z263" s="269"/>
      <c r="AA263" s="269"/>
      <c r="AB263" s="269"/>
      <c r="AC263" s="269"/>
      <c r="AD263" s="269"/>
      <c r="AE263" s="269"/>
      <c r="AF263" s="269"/>
      <c r="AG263" s="269"/>
      <c r="AH263" s="269"/>
      <c r="AI263" s="269"/>
      <c r="AJ263" s="269"/>
      <c r="AK263" s="269"/>
      <c r="AL263" s="269"/>
      <c r="AM263" s="269"/>
      <c r="AN263" s="269"/>
      <c r="AO263" s="269"/>
    </row>
    <row r="264" spans="24:41" ht="8.4499999999999993" hidden="1" customHeight="1">
      <c r="X264" s="269"/>
      <c r="Y264" s="269"/>
      <c r="Z264" s="269"/>
      <c r="AA264" s="269"/>
      <c r="AB264" s="269"/>
      <c r="AC264" s="269"/>
      <c r="AD264" s="269"/>
      <c r="AE264" s="269"/>
      <c r="AF264" s="269"/>
      <c r="AG264" s="269"/>
      <c r="AH264" s="269"/>
      <c r="AI264" s="269"/>
      <c r="AJ264" s="269"/>
      <c r="AK264" s="269"/>
      <c r="AL264" s="269"/>
      <c r="AM264" s="269"/>
      <c r="AN264" s="269"/>
      <c r="AO264" s="269"/>
    </row>
    <row r="265" spans="24:41" ht="8.4499999999999993" hidden="1" customHeight="1">
      <c r="X265" s="269"/>
      <c r="Y265" s="269"/>
      <c r="Z265" s="269"/>
      <c r="AA265" s="269"/>
      <c r="AB265" s="269"/>
      <c r="AC265" s="269"/>
      <c r="AD265" s="269"/>
      <c r="AE265" s="269"/>
      <c r="AF265" s="269"/>
      <c r="AG265" s="269"/>
      <c r="AH265" s="269"/>
      <c r="AI265" s="269"/>
      <c r="AJ265" s="269"/>
      <c r="AK265" s="269"/>
      <c r="AL265" s="269"/>
      <c r="AM265" s="269"/>
      <c r="AN265" s="269"/>
      <c r="AO265" s="269"/>
    </row>
    <row r="266" spans="24:41" ht="8.4499999999999993" hidden="1" customHeight="1">
      <c r="X266" s="269"/>
      <c r="Y266" s="269"/>
      <c r="Z266" s="269"/>
      <c r="AA266" s="269"/>
      <c r="AB266" s="269"/>
      <c r="AC266" s="269"/>
      <c r="AD266" s="269"/>
      <c r="AE266" s="269"/>
      <c r="AF266" s="269"/>
      <c r="AG266" s="269"/>
      <c r="AH266" s="269"/>
      <c r="AI266" s="269"/>
      <c r="AJ266" s="269"/>
      <c r="AK266" s="269"/>
      <c r="AL266" s="269"/>
      <c r="AM266" s="269"/>
      <c r="AN266" s="269"/>
      <c r="AO266" s="269"/>
    </row>
    <row r="267" spans="24:41" ht="8.4499999999999993" hidden="1" customHeight="1">
      <c r="X267" s="269"/>
      <c r="Y267" s="269"/>
      <c r="Z267" s="269"/>
      <c r="AA267" s="269"/>
      <c r="AB267" s="269"/>
      <c r="AC267" s="269"/>
      <c r="AD267" s="269"/>
      <c r="AE267" s="269"/>
      <c r="AF267" s="269"/>
      <c r="AG267" s="269"/>
      <c r="AH267" s="269"/>
      <c r="AI267" s="269"/>
      <c r="AJ267" s="269"/>
      <c r="AK267" s="269"/>
      <c r="AL267" s="269"/>
      <c r="AM267" s="269"/>
      <c r="AN267" s="269"/>
      <c r="AO267" s="269"/>
    </row>
    <row r="268" spans="24:41" ht="8.4499999999999993" hidden="1" customHeight="1">
      <c r="X268" s="269"/>
      <c r="Y268" s="269"/>
      <c r="Z268" s="269"/>
      <c r="AA268" s="269"/>
      <c r="AB268" s="269"/>
      <c r="AC268" s="269"/>
      <c r="AD268" s="269"/>
      <c r="AE268" s="269"/>
      <c r="AF268" s="269"/>
      <c r="AG268" s="269"/>
      <c r="AH268" s="269"/>
      <c r="AI268" s="269"/>
      <c r="AJ268" s="269"/>
      <c r="AK268" s="269"/>
      <c r="AL268" s="269"/>
      <c r="AM268" s="269"/>
      <c r="AN268" s="269"/>
      <c r="AO268" s="269"/>
    </row>
    <row r="269" spans="24:41" ht="8.4499999999999993" hidden="1" customHeight="1">
      <c r="X269" s="269"/>
      <c r="Y269" s="269"/>
      <c r="Z269" s="269"/>
      <c r="AA269" s="269"/>
      <c r="AB269" s="269"/>
      <c r="AC269" s="269"/>
      <c r="AD269" s="269"/>
      <c r="AE269" s="269"/>
      <c r="AF269" s="269"/>
      <c r="AG269" s="269"/>
      <c r="AH269" s="269"/>
      <c r="AI269" s="269"/>
      <c r="AJ269" s="269"/>
      <c r="AK269" s="269"/>
      <c r="AL269" s="269"/>
      <c r="AM269" s="269"/>
      <c r="AN269" s="269"/>
      <c r="AO269" s="269"/>
    </row>
    <row r="270" spans="24:41" ht="8.4499999999999993" hidden="1" customHeight="1">
      <c r="X270" s="269"/>
      <c r="Y270" s="269"/>
      <c r="Z270" s="269"/>
      <c r="AA270" s="269"/>
      <c r="AB270" s="269"/>
      <c r="AC270" s="269"/>
      <c r="AD270" s="269"/>
      <c r="AE270" s="269"/>
      <c r="AF270" s="269"/>
      <c r="AG270" s="269"/>
      <c r="AH270" s="269"/>
      <c r="AI270" s="269"/>
      <c r="AJ270" s="269"/>
      <c r="AK270" s="269"/>
      <c r="AL270" s="269"/>
      <c r="AM270" s="269"/>
      <c r="AN270" s="269"/>
      <c r="AO270" s="269"/>
    </row>
    <row r="271" spans="24:41" ht="8.4499999999999993" hidden="1" customHeight="1">
      <c r="X271" s="269"/>
      <c r="Y271" s="269"/>
      <c r="Z271" s="269"/>
      <c r="AA271" s="269"/>
      <c r="AB271" s="269"/>
      <c r="AC271" s="269"/>
      <c r="AD271" s="269"/>
      <c r="AE271" s="269"/>
      <c r="AF271" s="269"/>
      <c r="AG271" s="269"/>
      <c r="AH271" s="269"/>
      <c r="AI271" s="269"/>
      <c r="AJ271" s="269"/>
      <c r="AK271" s="269"/>
      <c r="AL271" s="269"/>
      <c r="AM271" s="269"/>
      <c r="AN271" s="269"/>
      <c r="AO271" s="269"/>
    </row>
    <row r="272" spans="24:41" ht="8.4499999999999993" hidden="1" customHeight="1">
      <c r="X272" s="269"/>
      <c r="Y272" s="269"/>
      <c r="Z272" s="269"/>
      <c r="AA272" s="269"/>
      <c r="AB272" s="269"/>
      <c r="AC272" s="269"/>
      <c r="AD272" s="269"/>
      <c r="AE272" s="269"/>
      <c r="AF272" s="269"/>
      <c r="AG272" s="269"/>
      <c r="AH272" s="269"/>
      <c r="AI272" s="269"/>
      <c r="AJ272" s="269"/>
      <c r="AK272" s="269"/>
      <c r="AL272" s="269"/>
      <c r="AM272" s="269"/>
      <c r="AN272" s="269"/>
      <c r="AO272" s="269"/>
    </row>
    <row r="273" spans="24:41" ht="8.4499999999999993" hidden="1" customHeight="1">
      <c r="X273" s="269"/>
      <c r="Y273" s="269"/>
      <c r="Z273" s="269"/>
      <c r="AA273" s="269"/>
      <c r="AB273" s="269"/>
      <c r="AC273" s="269"/>
      <c r="AD273" s="269"/>
      <c r="AE273" s="269"/>
      <c r="AF273" s="269"/>
      <c r="AG273" s="269"/>
      <c r="AH273" s="269"/>
      <c r="AI273" s="269"/>
      <c r="AJ273" s="269"/>
      <c r="AK273" s="269"/>
      <c r="AL273" s="269"/>
      <c r="AM273" s="269"/>
      <c r="AN273" s="269"/>
      <c r="AO273" s="269"/>
    </row>
    <row r="274" spans="24:41" ht="8.4499999999999993" hidden="1" customHeight="1">
      <c r="X274" s="269"/>
      <c r="Y274" s="269"/>
      <c r="Z274" s="269"/>
      <c r="AA274" s="269"/>
      <c r="AB274" s="269"/>
      <c r="AC274" s="269"/>
      <c r="AD274" s="269"/>
      <c r="AE274" s="269"/>
      <c r="AF274" s="269"/>
      <c r="AG274" s="269"/>
      <c r="AH274" s="269"/>
      <c r="AI274" s="269"/>
      <c r="AJ274" s="269"/>
      <c r="AK274" s="269"/>
      <c r="AL274" s="269"/>
      <c r="AM274" s="269"/>
      <c r="AN274" s="269"/>
      <c r="AO274" s="269"/>
    </row>
    <row r="275" spans="24:41" ht="8.4499999999999993" hidden="1" customHeight="1">
      <c r="X275" s="269"/>
      <c r="Y275" s="269"/>
      <c r="Z275" s="269"/>
      <c r="AA275" s="269"/>
      <c r="AB275" s="269"/>
      <c r="AC275" s="269"/>
      <c r="AD275" s="269"/>
      <c r="AE275" s="269"/>
      <c r="AF275" s="269"/>
      <c r="AG275" s="269"/>
      <c r="AH275" s="269"/>
      <c r="AI275" s="269"/>
      <c r="AJ275" s="269"/>
      <c r="AK275" s="269"/>
      <c r="AL275" s="269"/>
      <c r="AM275" s="269"/>
      <c r="AN275" s="269"/>
      <c r="AO275" s="269"/>
    </row>
    <row r="276" spans="24:41" ht="8.4499999999999993" hidden="1" customHeight="1">
      <c r="X276" s="269"/>
      <c r="Y276" s="269"/>
      <c r="Z276" s="269"/>
      <c r="AA276" s="269"/>
      <c r="AB276" s="269"/>
      <c r="AC276" s="269"/>
      <c r="AD276" s="269"/>
      <c r="AE276" s="269"/>
      <c r="AF276" s="269"/>
      <c r="AG276" s="269"/>
      <c r="AH276" s="269"/>
      <c r="AI276" s="269"/>
      <c r="AJ276" s="269"/>
      <c r="AK276" s="269"/>
      <c r="AL276" s="269"/>
      <c r="AM276" s="269"/>
      <c r="AN276" s="269"/>
      <c r="AO276" s="269"/>
    </row>
    <row r="277" spans="24:41" ht="8.4499999999999993" hidden="1" customHeight="1">
      <c r="X277" s="269"/>
      <c r="Y277" s="269"/>
      <c r="Z277" s="269"/>
      <c r="AA277" s="269"/>
      <c r="AB277" s="269"/>
      <c r="AC277" s="269"/>
      <c r="AD277" s="269"/>
      <c r="AE277" s="269"/>
      <c r="AF277" s="269"/>
      <c r="AG277" s="269"/>
      <c r="AH277" s="269"/>
      <c r="AI277" s="269"/>
      <c r="AJ277" s="269"/>
      <c r="AK277" s="269"/>
      <c r="AL277" s="269"/>
      <c r="AM277" s="269"/>
      <c r="AN277" s="269"/>
      <c r="AO277" s="269"/>
    </row>
    <row r="278" spans="24:41" ht="8.4499999999999993" hidden="1" customHeight="1">
      <c r="X278" s="269"/>
      <c r="Y278" s="269"/>
      <c r="Z278" s="269"/>
      <c r="AA278" s="269"/>
      <c r="AB278" s="269"/>
      <c r="AC278" s="269"/>
      <c r="AD278" s="269"/>
      <c r="AE278" s="269"/>
      <c r="AF278" s="269"/>
      <c r="AG278" s="269"/>
      <c r="AH278" s="269"/>
      <c r="AI278" s="269"/>
      <c r="AJ278" s="269"/>
      <c r="AK278" s="269"/>
      <c r="AL278" s="269"/>
      <c r="AM278" s="269"/>
      <c r="AN278" s="269"/>
      <c r="AO278" s="269"/>
    </row>
    <row r="279" spans="24:41" ht="8.4499999999999993" hidden="1" customHeight="1">
      <c r="X279" s="269"/>
      <c r="Y279" s="269"/>
      <c r="Z279" s="269"/>
      <c r="AA279" s="269"/>
      <c r="AB279" s="269"/>
      <c r="AC279" s="269"/>
      <c r="AD279" s="269"/>
      <c r="AE279" s="269"/>
      <c r="AF279" s="269"/>
      <c r="AG279" s="269"/>
      <c r="AH279" s="269"/>
      <c r="AI279" s="269"/>
      <c r="AJ279" s="269"/>
      <c r="AK279" s="269"/>
      <c r="AL279" s="269"/>
      <c r="AM279" s="269"/>
      <c r="AN279" s="269"/>
      <c r="AO279" s="269"/>
    </row>
    <row r="280" spans="24:41" ht="8.4499999999999993" hidden="1" customHeight="1">
      <c r="X280" s="269"/>
      <c r="Y280" s="269"/>
      <c r="Z280" s="269"/>
      <c r="AA280" s="269"/>
      <c r="AB280" s="269"/>
      <c r="AC280" s="269"/>
      <c r="AD280" s="269"/>
      <c r="AE280" s="269"/>
      <c r="AF280" s="269"/>
      <c r="AG280" s="269"/>
      <c r="AH280" s="269"/>
      <c r="AI280" s="269"/>
      <c r="AJ280" s="269"/>
      <c r="AK280" s="269"/>
      <c r="AL280" s="269"/>
      <c r="AM280" s="269"/>
      <c r="AN280" s="269"/>
      <c r="AO280" s="269"/>
    </row>
    <row r="281" spans="24:41" ht="8.4499999999999993" hidden="1" customHeight="1">
      <c r="X281" s="269"/>
      <c r="Y281" s="269"/>
      <c r="Z281" s="269"/>
      <c r="AA281" s="269"/>
      <c r="AB281" s="269"/>
      <c r="AC281" s="269"/>
      <c r="AD281" s="269"/>
      <c r="AE281" s="269"/>
      <c r="AF281" s="269"/>
      <c r="AG281" s="269"/>
      <c r="AH281" s="269"/>
      <c r="AI281" s="269"/>
      <c r="AJ281" s="269"/>
      <c r="AK281" s="269"/>
      <c r="AL281" s="269"/>
      <c r="AM281" s="269"/>
      <c r="AN281" s="269"/>
      <c r="AO281" s="269"/>
    </row>
    <row r="282" spans="24:41" ht="8.4499999999999993" hidden="1" customHeight="1">
      <c r="X282" s="269"/>
      <c r="Y282" s="269"/>
      <c r="Z282" s="269"/>
      <c r="AA282" s="269"/>
      <c r="AB282" s="269"/>
      <c r="AC282" s="269"/>
      <c r="AD282" s="269"/>
      <c r="AE282" s="269"/>
      <c r="AF282" s="269"/>
      <c r="AG282" s="269"/>
      <c r="AH282" s="269"/>
      <c r="AI282" s="269"/>
      <c r="AJ282" s="269"/>
      <c r="AK282" s="269"/>
      <c r="AL282" s="269"/>
      <c r="AM282" s="269"/>
      <c r="AN282" s="269"/>
      <c r="AO282" s="269"/>
    </row>
    <row r="283" spans="24:41" ht="8.4499999999999993" hidden="1" customHeight="1">
      <c r="X283" s="269"/>
      <c r="Y283" s="269"/>
      <c r="Z283" s="269"/>
      <c r="AA283" s="269"/>
      <c r="AB283" s="269"/>
      <c r="AC283" s="269"/>
      <c r="AD283" s="269"/>
      <c r="AE283" s="269"/>
      <c r="AF283" s="269"/>
      <c r="AG283" s="269"/>
      <c r="AH283" s="269"/>
      <c r="AI283" s="269"/>
      <c r="AJ283" s="269"/>
      <c r="AK283" s="269"/>
      <c r="AL283" s="269"/>
      <c r="AM283" s="269"/>
      <c r="AN283" s="269"/>
      <c r="AO283" s="269"/>
    </row>
    <row r="284" spans="24:41" ht="8.4499999999999993" hidden="1" customHeight="1">
      <c r="X284" s="269"/>
      <c r="Y284" s="269"/>
      <c r="Z284" s="269"/>
      <c r="AA284" s="269"/>
      <c r="AB284" s="269"/>
      <c r="AC284" s="269"/>
      <c r="AD284" s="269"/>
      <c r="AE284" s="269"/>
      <c r="AF284" s="269"/>
      <c r="AG284" s="269"/>
      <c r="AH284" s="269"/>
      <c r="AI284" s="269"/>
      <c r="AJ284" s="269"/>
      <c r="AK284" s="269"/>
      <c r="AL284" s="269"/>
      <c r="AM284" s="269"/>
      <c r="AN284" s="269"/>
      <c r="AO284" s="269"/>
    </row>
    <row r="285" spans="24:41" ht="8.4499999999999993" hidden="1" customHeight="1">
      <c r="X285" s="269"/>
      <c r="Y285" s="269"/>
      <c r="Z285" s="269"/>
      <c r="AA285" s="269"/>
      <c r="AB285" s="269"/>
      <c r="AC285" s="269"/>
      <c r="AD285" s="269"/>
      <c r="AE285" s="269"/>
      <c r="AF285" s="269"/>
      <c r="AG285" s="269"/>
      <c r="AH285" s="269"/>
      <c r="AI285" s="269"/>
      <c r="AJ285" s="269"/>
      <c r="AK285" s="269"/>
      <c r="AL285" s="269"/>
      <c r="AM285" s="269"/>
      <c r="AN285" s="269"/>
      <c r="AO285" s="269"/>
    </row>
    <row r="286" spans="24:41" ht="8.4499999999999993" hidden="1" customHeight="1">
      <c r="X286" s="269"/>
      <c r="Y286" s="269"/>
      <c r="Z286" s="269"/>
      <c r="AA286" s="269"/>
      <c r="AB286" s="269"/>
      <c r="AC286" s="269"/>
      <c r="AD286" s="269"/>
      <c r="AE286" s="269"/>
      <c r="AF286" s="269"/>
      <c r="AG286" s="269"/>
      <c r="AH286" s="269"/>
      <c r="AI286" s="269"/>
      <c r="AJ286" s="269"/>
      <c r="AK286" s="269"/>
      <c r="AL286" s="269"/>
      <c r="AM286" s="269"/>
      <c r="AN286" s="269"/>
      <c r="AO286" s="269"/>
    </row>
    <row r="287" spans="24:41" ht="8.4499999999999993" hidden="1" customHeight="1">
      <c r="X287" s="269"/>
      <c r="Y287" s="269"/>
      <c r="Z287" s="269"/>
      <c r="AA287" s="269"/>
      <c r="AB287" s="269"/>
      <c r="AC287" s="269"/>
      <c r="AD287" s="269"/>
      <c r="AE287" s="269"/>
      <c r="AF287" s="269"/>
      <c r="AG287" s="269"/>
      <c r="AH287" s="269"/>
      <c r="AI287" s="269"/>
      <c r="AJ287" s="269"/>
      <c r="AK287" s="269"/>
      <c r="AL287" s="269"/>
      <c r="AM287" s="269"/>
      <c r="AN287" s="269"/>
      <c r="AO287" s="269"/>
    </row>
    <row r="288" spans="24:41" ht="8.4499999999999993" hidden="1" customHeight="1">
      <c r="X288" s="269"/>
      <c r="Y288" s="269"/>
      <c r="Z288" s="269"/>
      <c r="AA288" s="269"/>
      <c r="AB288" s="269"/>
      <c r="AC288" s="269"/>
      <c r="AD288" s="269"/>
      <c r="AE288" s="269"/>
      <c r="AF288" s="269"/>
      <c r="AG288" s="269"/>
      <c r="AH288" s="269"/>
      <c r="AI288" s="269"/>
      <c r="AJ288" s="269"/>
      <c r="AK288" s="269"/>
      <c r="AL288" s="269"/>
      <c r="AM288" s="269"/>
      <c r="AN288" s="269"/>
      <c r="AO288" s="269"/>
    </row>
    <row r="289" spans="24:41" ht="8.4499999999999993" hidden="1" customHeight="1">
      <c r="X289" s="269"/>
      <c r="Y289" s="269"/>
      <c r="Z289" s="269"/>
      <c r="AA289" s="269"/>
      <c r="AB289" s="269"/>
      <c r="AC289" s="269"/>
      <c r="AD289" s="269"/>
      <c r="AE289" s="269"/>
      <c r="AF289" s="269"/>
      <c r="AG289" s="269"/>
      <c r="AH289" s="269"/>
      <c r="AI289" s="269"/>
      <c r="AJ289" s="269"/>
      <c r="AK289" s="269"/>
      <c r="AL289" s="269"/>
      <c r="AM289" s="269"/>
      <c r="AN289" s="269"/>
      <c r="AO289" s="269"/>
    </row>
    <row r="290" spans="24:41" ht="8.4499999999999993" hidden="1" customHeight="1">
      <c r="X290" s="259"/>
      <c r="Y290" s="259"/>
      <c r="Z290" s="259"/>
      <c r="AA290" s="259"/>
      <c r="AB290" s="259"/>
      <c r="AC290" s="259"/>
      <c r="AD290" s="259"/>
      <c r="AE290" s="259"/>
      <c r="AF290" s="259"/>
      <c r="AG290" s="259"/>
      <c r="AH290" s="259"/>
      <c r="AI290" s="259"/>
      <c r="AJ290" s="259"/>
      <c r="AK290" s="259"/>
      <c r="AL290" s="259"/>
      <c r="AM290" s="259"/>
      <c r="AN290" s="259"/>
      <c r="AO290" s="259"/>
    </row>
    <row r="291" spans="24:41" ht="8.4499999999999993" hidden="1" customHeight="1">
      <c r="X291" s="259"/>
      <c r="Y291" s="259"/>
      <c r="Z291" s="259"/>
      <c r="AA291" s="259"/>
      <c r="AB291" s="259"/>
      <c r="AC291" s="259"/>
      <c r="AD291" s="259"/>
      <c r="AE291" s="259"/>
      <c r="AF291" s="259"/>
      <c r="AG291" s="259"/>
      <c r="AH291" s="259"/>
      <c r="AI291" s="259"/>
      <c r="AJ291" s="259"/>
      <c r="AK291" s="259"/>
      <c r="AL291" s="259"/>
      <c r="AM291" s="259"/>
      <c r="AN291" s="259"/>
      <c r="AO291" s="259"/>
    </row>
    <row r="292" spans="24:41" ht="8.4499999999999993" hidden="1" customHeight="1">
      <c r="X292" s="269"/>
      <c r="Y292" s="269"/>
      <c r="Z292" s="269"/>
      <c r="AA292" s="269"/>
      <c r="AB292" s="269"/>
      <c r="AC292" s="269"/>
      <c r="AD292" s="269"/>
      <c r="AE292" s="269"/>
      <c r="AF292" s="269"/>
      <c r="AG292" s="269"/>
      <c r="AH292" s="269"/>
      <c r="AI292" s="269"/>
      <c r="AJ292" s="269"/>
      <c r="AK292" s="269"/>
      <c r="AL292" s="269"/>
      <c r="AM292" s="269"/>
      <c r="AN292" s="269"/>
      <c r="AO292" s="269"/>
    </row>
    <row r="293" spans="24:41" ht="8.4499999999999993" hidden="1" customHeight="1">
      <c r="X293" s="269"/>
      <c r="Y293" s="269"/>
      <c r="Z293" s="269"/>
      <c r="AA293" s="269"/>
      <c r="AB293" s="269"/>
      <c r="AC293" s="269"/>
      <c r="AD293" s="269"/>
      <c r="AE293" s="269"/>
      <c r="AF293" s="269"/>
      <c r="AG293" s="269"/>
      <c r="AH293" s="269"/>
      <c r="AI293" s="269"/>
      <c r="AJ293" s="269"/>
      <c r="AK293" s="269"/>
      <c r="AL293" s="269"/>
      <c r="AM293" s="269"/>
      <c r="AN293" s="269"/>
      <c r="AO293" s="269"/>
    </row>
    <row r="294" spans="24:41" ht="8.4499999999999993" hidden="1" customHeight="1">
      <c r="X294" s="269"/>
      <c r="Y294" s="269"/>
      <c r="Z294" s="269"/>
      <c r="AA294" s="269"/>
      <c r="AB294" s="269"/>
      <c r="AC294" s="269"/>
      <c r="AD294" s="269"/>
      <c r="AE294" s="269"/>
      <c r="AF294" s="269"/>
      <c r="AG294" s="269"/>
      <c r="AH294" s="269"/>
      <c r="AI294" s="269"/>
      <c r="AJ294" s="269"/>
      <c r="AK294" s="269"/>
      <c r="AL294" s="269"/>
      <c r="AM294" s="269"/>
      <c r="AN294" s="269"/>
      <c r="AO294" s="269"/>
    </row>
    <row r="295" spans="24:41" ht="8.4499999999999993" hidden="1" customHeight="1">
      <c r="X295" s="269"/>
      <c r="Y295" s="269"/>
      <c r="Z295" s="269"/>
      <c r="AA295" s="269"/>
      <c r="AB295" s="269"/>
      <c r="AC295" s="269"/>
      <c r="AD295" s="269"/>
      <c r="AE295" s="269"/>
      <c r="AF295" s="269"/>
      <c r="AG295" s="269"/>
      <c r="AH295" s="269"/>
      <c r="AI295" s="269"/>
      <c r="AJ295" s="269"/>
      <c r="AK295" s="269"/>
      <c r="AL295" s="269"/>
      <c r="AM295" s="269"/>
      <c r="AN295" s="269"/>
      <c r="AO295" s="269"/>
    </row>
    <row r="296" spans="24:41" ht="8.4499999999999993" hidden="1" customHeight="1">
      <c r="X296" s="269"/>
      <c r="Y296" s="269"/>
      <c r="Z296" s="269"/>
      <c r="AA296" s="269"/>
      <c r="AB296" s="269"/>
      <c r="AC296" s="269"/>
      <c r="AD296" s="269"/>
      <c r="AE296" s="269"/>
      <c r="AF296" s="269"/>
      <c r="AG296" s="269"/>
      <c r="AH296" s="269"/>
      <c r="AI296" s="269"/>
      <c r="AJ296" s="269"/>
      <c r="AK296" s="269"/>
      <c r="AL296" s="269"/>
      <c r="AM296" s="269"/>
      <c r="AN296" s="269"/>
      <c r="AO296" s="269"/>
    </row>
    <row r="297" spans="24:41" ht="8.4499999999999993" hidden="1" customHeight="1">
      <c r="X297" s="269"/>
      <c r="Y297" s="269"/>
      <c r="Z297" s="269"/>
      <c r="AA297" s="269"/>
      <c r="AB297" s="269"/>
      <c r="AC297" s="269"/>
      <c r="AD297" s="269"/>
      <c r="AE297" s="269"/>
      <c r="AF297" s="269"/>
      <c r="AG297" s="269"/>
      <c r="AH297" s="269"/>
      <c r="AI297" s="269"/>
      <c r="AJ297" s="269"/>
      <c r="AK297" s="269"/>
      <c r="AL297" s="269"/>
      <c r="AM297" s="269"/>
      <c r="AN297" s="269"/>
      <c r="AO297" s="269"/>
    </row>
    <row r="298" spans="24:41" ht="8.4499999999999993" hidden="1" customHeight="1">
      <c r="X298" s="269"/>
      <c r="Y298" s="269"/>
      <c r="Z298" s="269"/>
      <c r="AA298" s="269"/>
      <c r="AB298" s="269"/>
      <c r="AC298" s="269"/>
      <c r="AD298" s="269"/>
      <c r="AE298" s="269"/>
      <c r="AF298" s="269"/>
      <c r="AG298" s="269"/>
      <c r="AH298" s="269"/>
      <c r="AI298" s="269"/>
      <c r="AJ298" s="269"/>
      <c r="AK298" s="269"/>
      <c r="AL298" s="269"/>
      <c r="AM298" s="269"/>
      <c r="AN298" s="269"/>
      <c r="AO298" s="269"/>
    </row>
    <row r="299" spans="24:41" ht="8.4499999999999993" hidden="1" customHeight="1">
      <c r="X299" s="269"/>
      <c r="Y299" s="269"/>
      <c r="Z299" s="269"/>
      <c r="AA299" s="269"/>
      <c r="AB299" s="269"/>
      <c r="AC299" s="269"/>
      <c r="AD299" s="269"/>
      <c r="AE299" s="269"/>
      <c r="AF299" s="269"/>
      <c r="AG299" s="269"/>
      <c r="AH299" s="269"/>
      <c r="AI299" s="269"/>
      <c r="AJ299" s="269"/>
      <c r="AK299" s="269"/>
      <c r="AL299" s="269"/>
      <c r="AM299" s="269"/>
      <c r="AN299" s="269"/>
      <c r="AO299" s="269"/>
    </row>
    <row r="300" spans="24:41" ht="8.4499999999999993" hidden="1" customHeight="1">
      <c r="X300" s="269"/>
      <c r="Y300" s="269"/>
      <c r="Z300" s="269"/>
      <c r="AA300" s="269"/>
      <c r="AB300" s="269"/>
      <c r="AC300" s="269"/>
      <c r="AD300" s="269"/>
      <c r="AE300" s="269"/>
      <c r="AF300" s="269"/>
      <c r="AG300" s="269"/>
      <c r="AH300" s="269"/>
      <c r="AI300" s="269"/>
      <c r="AJ300" s="269"/>
      <c r="AK300" s="269"/>
      <c r="AL300" s="269"/>
      <c r="AM300" s="269"/>
      <c r="AN300" s="269"/>
      <c r="AO300" s="269"/>
    </row>
    <row r="301" spans="24:41" ht="8.4499999999999993" hidden="1" customHeight="1">
      <c r="X301" s="269"/>
      <c r="Y301" s="269"/>
      <c r="Z301" s="269"/>
      <c r="AA301" s="269"/>
      <c r="AB301" s="269"/>
      <c r="AC301" s="269"/>
      <c r="AD301" s="269"/>
      <c r="AE301" s="269"/>
      <c r="AF301" s="269"/>
      <c r="AG301" s="269"/>
      <c r="AH301" s="269"/>
      <c r="AI301" s="269"/>
      <c r="AJ301" s="269"/>
      <c r="AK301" s="269"/>
      <c r="AL301" s="269"/>
      <c r="AM301" s="269"/>
      <c r="AN301" s="269"/>
      <c r="AO301" s="269"/>
    </row>
    <row r="302" spans="24:41" ht="8.4499999999999993" hidden="1" customHeight="1">
      <c r="X302" s="269"/>
      <c r="Y302" s="269"/>
      <c r="Z302" s="269"/>
      <c r="AA302" s="269"/>
      <c r="AB302" s="269"/>
      <c r="AC302" s="269"/>
      <c r="AD302" s="269"/>
      <c r="AE302" s="269"/>
      <c r="AF302" s="269"/>
      <c r="AG302" s="269"/>
      <c r="AH302" s="269"/>
      <c r="AI302" s="269"/>
      <c r="AJ302" s="269"/>
      <c r="AK302" s="269"/>
      <c r="AL302" s="269"/>
      <c r="AM302" s="269"/>
      <c r="AN302" s="269"/>
      <c r="AO302" s="269"/>
    </row>
    <row r="303" spans="24:41" ht="8.4499999999999993" hidden="1" customHeight="1">
      <c r="X303" s="269"/>
      <c r="Y303" s="269"/>
      <c r="Z303" s="269"/>
      <c r="AA303" s="269"/>
      <c r="AB303" s="269"/>
      <c r="AC303" s="269"/>
      <c r="AD303" s="269"/>
      <c r="AE303" s="269"/>
      <c r="AF303" s="269"/>
      <c r="AG303" s="269"/>
      <c r="AH303" s="269"/>
      <c r="AI303" s="269"/>
      <c r="AJ303" s="269"/>
      <c r="AK303" s="269"/>
      <c r="AL303" s="269"/>
      <c r="AM303" s="269"/>
      <c r="AN303" s="269"/>
      <c r="AO303" s="269"/>
    </row>
    <row r="304" spans="24:41" ht="8.4499999999999993" hidden="1" customHeight="1">
      <c r="X304" s="269"/>
      <c r="Y304" s="269"/>
      <c r="Z304" s="269"/>
      <c r="AA304" s="269"/>
      <c r="AB304" s="269"/>
      <c r="AC304" s="269"/>
      <c r="AD304" s="269"/>
      <c r="AE304" s="269"/>
      <c r="AF304" s="269"/>
      <c r="AG304" s="269"/>
      <c r="AH304" s="269"/>
      <c r="AI304" s="269"/>
      <c r="AJ304" s="269"/>
      <c r="AK304" s="269"/>
      <c r="AL304" s="269"/>
      <c r="AM304" s="269"/>
      <c r="AN304" s="269"/>
      <c r="AO304" s="269"/>
    </row>
    <row r="305" spans="24:41" ht="8.4499999999999993" hidden="1" customHeight="1">
      <c r="X305" s="269"/>
      <c r="Y305" s="269"/>
      <c r="Z305" s="269"/>
      <c r="AA305" s="269"/>
      <c r="AB305" s="269"/>
      <c r="AC305" s="269"/>
      <c r="AD305" s="269"/>
      <c r="AE305" s="269"/>
      <c r="AF305" s="269"/>
      <c r="AG305" s="269"/>
      <c r="AH305" s="269"/>
      <c r="AI305" s="269"/>
      <c r="AJ305" s="269"/>
      <c r="AK305" s="269"/>
      <c r="AL305" s="269"/>
      <c r="AM305" s="269"/>
      <c r="AN305" s="269"/>
      <c r="AO305" s="269"/>
    </row>
    <row r="306" spans="24:41" ht="8.4499999999999993" hidden="1" customHeight="1">
      <c r="X306" s="269"/>
      <c r="Y306" s="269"/>
      <c r="Z306" s="269"/>
      <c r="AA306" s="269"/>
      <c r="AB306" s="269"/>
      <c r="AC306" s="269"/>
      <c r="AD306" s="269"/>
      <c r="AE306" s="269"/>
      <c r="AF306" s="269"/>
      <c r="AG306" s="269"/>
      <c r="AH306" s="269"/>
      <c r="AI306" s="269"/>
      <c r="AJ306" s="269"/>
      <c r="AK306" s="269"/>
      <c r="AL306" s="269"/>
      <c r="AM306" s="269"/>
      <c r="AN306" s="269"/>
      <c r="AO306" s="269"/>
    </row>
    <row r="307" spans="24:41" ht="8.4499999999999993" hidden="1" customHeight="1">
      <c r="X307" s="269"/>
      <c r="Y307" s="269"/>
      <c r="Z307" s="269"/>
      <c r="AA307" s="269"/>
      <c r="AB307" s="269"/>
      <c r="AC307" s="269"/>
      <c r="AD307" s="269"/>
      <c r="AE307" s="269"/>
      <c r="AF307" s="269"/>
      <c r="AG307" s="269"/>
      <c r="AH307" s="269"/>
      <c r="AI307" s="269"/>
      <c r="AJ307" s="269"/>
      <c r="AK307" s="269"/>
      <c r="AL307" s="269"/>
      <c r="AM307" s="269"/>
      <c r="AN307" s="269"/>
      <c r="AO307" s="269"/>
    </row>
    <row r="308" spans="24:41" ht="8.4499999999999993" hidden="1" customHeight="1"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69"/>
      <c r="AJ308" s="269"/>
      <c r="AK308" s="269"/>
      <c r="AL308" s="269"/>
      <c r="AM308" s="269"/>
      <c r="AN308" s="269"/>
      <c r="AO308" s="269"/>
    </row>
    <row r="309" spans="24:41" ht="8.4499999999999993" hidden="1" customHeight="1"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69"/>
      <c r="AJ309" s="269"/>
      <c r="AK309" s="269"/>
      <c r="AL309" s="269"/>
      <c r="AM309" s="269"/>
      <c r="AN309" s="269"/>
      <c r="AO309" s="269"/>
    </row>
    <row r="310" spans="24:41" ht="8.4499999999999993" hidden="1" customHeight="1"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69"/>
      <c r="AJ310" s="269"/>
      <c r="AK310" s="269"/>
      <c r="AL310" s="269"/>
      <c r="AM310" s="269"/>
      <c r="AN310" s="269"/>
      <c r="AO310" s="269"/>
    </row>
    <row r="311" spans="24:41" ht="8.4499999999999993" hidden="1" customHeight="1"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69"/>
      <c r="AJ311" s="269"/>
      <c r="AK311" s="269"/>
      <c r="AL311" s="269"/>
      <c r="AM311" s="269"/>
      <c r="AN311" s="269"/>
      <c r="AO311" s="269"/>
    </row>
    <row r="312" spans="24:41" ht="8.4499999999999993" hidden="1" customHeight="1">
      <c r="X312" s="269"/>
      <c r="Y312" s="269"/>
      <c r="Z312" s="269"/>
      <c r="AA312" s="269"/>
      <c r="AB312" s="269"/>
      <c r="AC312" s="269"/>
      <c r="AD312" s="269"/>
      <c r="AE312" s="269"/>
      <c r="AF312" s="269"/>
      <c r="AG312" s="269"/>
      <c r="AH312" s="269"/>
      <c r="AI312" s="269"/>
      <c r="AJ312" s="269"/>
      <c r="AK312" s="269"/>
      <c r="AL312" s="269"/>
      <c r="AM312" s="269"/>
      <c r="AN312" s="269"/>
      <c r="AO312" s="269"/>
    </row>
    <row r="313" spans="24:41" ht="8.4499999999999993" hidden="1" customHeight="1">
      <c r="X313" s="269"/>
      <c r="Y313" s="269"/>
      <c r="Z313" s="269"/>
      <c r="AA313" s="269"/>
      <c r="AB313" s="269"/>
      <c r="AC313" s="269"/>
      <c r="AD313" s="269"/>
      <c r="AE313" s="269"/>
      <c r="AF313" s="269"/>
      <c r="AG313" s="269"/>
      <c r="AH313" s="269"/>
      <c r="AI313" s="269"/>
      <c r="AJ313" s="269"/>
      <c r="AK313" s="269"/>
      <c r="AL313" s="269"/>
      <c r="AM313" s="269"/>
      <c r="AN313" s="269"/>
      <c r="AO313" s="269"/>
    </row>
    <row r="314" spans="24:41" ht="8.4499999999999993" hidden="1" customHeight="1">
      <c r="X314" s="269"/>
      <c r="Y314" s="269"/>
      <c r="Z314" s="269"/>
      <c r="AA314" s="269"/>
      <c r="AB314" s="269"/>
      <c r="AC314" s="269"/>
      <c r="AD314" s="269"/>
      <c r="AE314" s="269"/>
      <c r="AF314" s="269"/>
      <c r="AG314" s="269"/>
      <c r="AH314" s="269"/>
      <c r="AI314" s="269"/>
      <c r="AJ314" s="269"/>
      <c r="AK314" s="269"/>
      <c r="AL314" s="269"/>
      <c r="AM314" s="269"/>
      <c r="AN314" s="269"/>
      <c r="AO314" s="269"/>
    </row>
    <row r="315" spans="24:41" ht="8.4499999999999993" hidden="1" customHeight="1">
      <c r="X315" s="269"/>
      <c r="Y315" s="269"/>
      <c r="Z315" s="269"/>
      <c r="AA315" s="269"/>
      <c r="AB315" s="269"/>
      <c r="AC315" s="269"/>
      <c r="AD315" s="269"/>
      <c r="AE315" s="269"/>
      <c r="AF315" s="269"/>
      <c r="AG315" s="269"/>
      <c r="AH315" s="269"/>
      <c r="AI315" s="269"/>
      <c r="AJ315" s="269"/>
      <c r="AK315" s="269"/>
      <c r="AL315" s="269"/>
      <c r="AM315" s="269"/>
      <c r="AN315" s="269"/>
      <c r="AO315" s="269"/>
    </row>
    <row r="316" spans="24:41" ht="8.4499999999999993" hidden="1" customHeight="1">
      <c r="X316" s="269"/>
      <c r="Y316" s="269"/>
      <c r="Z316" s="269"/>
      <c r="AA316" s="269"/>
      <c r="AB316" s="269"/>
      <c r="AC316" s="269"/>
      <c r="AD316" s="269"/>
      <c r="AE316" s="269"/>
      <c r="AF316" s="269"/>
      <c r="AG316" s="269"/>
      <c r="AH316" s="269"/>
      <c r="AI316" s="269"/>
      <c r="AJ316" s="269"/>
      <c r="AK316" s="269"/>
      <c r="AL316" s="269"/>
      <c r="AM316" s="269"/>
      <c r="AN316" s="269"/>
      <c r="AO316" s="269"/>
    </row>
    <row r="317" spans="24:41" ht="8.4499999999999993" hidden="1" customHeight="1">
      <c r="X317" s="269"/>
      <c r="Y317" s="269"/>
      <c r="Z317" s="269"/>
      <c r="AA317" s="269"/>
      <c r="AB317" s="269"/>
      <c r="AC317" s="269"/>
      <c r="AD317" s="269"/>
      <c r="AE317" s="269"/>
      <c r="AF317" s="269"/>
      <c r="AG317" s="269"/>
      <c r="AH317" s="269"/>
      <c r="AI317" s="269"/>
      <c r="AJ317" s="269"/>
      <c r="AK317" s="269"/>
      <c r="AL317" s="269"/>
      <c r="AM317" s="269"/>
      <c r="AN317" s="269"/>
      <c r="AO317" s="269"/>
    </row>
    <row r="318" spans="24:41" ht="8.4499999999999993" hidden="1" customHeight="1">
      <c r="X318" s="269"/>
      <c r="Y318" s="269"/>
      <c r="Z318" s="269"/>
      <c r="AA318" s="269"/>
      <c r="AB318" s="269"/>
      <c r="AC318" s="269"/>
      <c r="AD318" s="269"/>
      <c r="AE318" s="269"/>
      <c r="AF318" s="269"/>
      <c r="AG318" s="269"/>
      <c r="AH318" s="269"/>
      <c r="AI318" s="269"/>
      <c r="AJ318" s="269"/>
      <c r="AK318" s="269"/>
      <c r="AL318" s="269"/>
      <c r="AM318" s="269"/>
      <c r="AN318" s="269"/>
      <c r="AO318" s="269"/>
    </row>
    <row r="319" spans="24:41" ht="8.4499999999999993" hidden="1" customHeight="1">
      <c r="X319" s="269"/>
      <c r="Y319" s="269"/>
      <c r="Z319" s="269"/>
      <c r="AA319" s="269"/>
      <c r="AB319" s="269"/>
      <c r="AC319" s="269"/>
      <c r="AD319" s="269"/>
      <c r="AE319" s="269"/>
      <c r="AF319" s="269"/>
      <c r="AG319" s="269"/>
      <c r="AH319" s="269"/>
      <c r="AI319" s="269"/>
      <c r="AJ319" s="269"/>
      <c r="AK319" s="269"/>
      <c r="AL319" s="269"/>
      <c r="AM319" s="269"/>
      <c r="AN319" s="269"/>
      <c r="AO319" s="269"/>
    </row>
    <row r="320" spans="24:41" ht="8.4499999999999993" hidden="1" customHeight="1">
      <c r="X320" s="269"/>
      <c r="Y320" s="269"/>
      <c r="Z320" s="269"/>
      <c r="AA320" s="269"/>
      <c r="AB320" s="269"/>
      <c r="AC320" s="269"/>
      <c r="AD320" s="269"/>
      <c r="AE320" s="269"/>
      <c r="AF320" s="269"/>
      <c r="AG320" s="269"/>
      <c r="AH320" s="269"/>
      <c r="AI320" s="269"/>
      <c r="AJ320" s="269"/>
      <c r="AK320" s="269"/>
      <c r="AL320" s="269"/>
      <c r="AM320" s="269"/>
      <c r="AN320" s="269"/>
      <c r="AO320" s="269"/>
    </row>
    <row r="321" spans="24:41" ht="8.4499999999999993" hidden="1" customHeight="1">
      <c r="X321" s="269"/>
      <c r="Y321" s="269"/>
      <c r="Z321" s="269"/>
      <c r="AA321" s="269"/>
      <c r="AB321" s="269"/>
      <c r="AC321" s="269"/>
      <c r="AD321" s="269"/>
      <c r="AE321" s="269"/>
      <c r="AF321" s="269"/>
      <c r="AG321" s="269"/>
      <c r="AH321" s="269"/>
      <c r="AI321" s="269"/>
      <c r="AJ321" s="269"/>
      <c r="AK321" s="269"/>
      <c r="AL321" s="269"/>
      <c r="AM321" s="269"/>
      <c r="AN321" s="269"/>
      <c r="AO321" s="269"/>
    </row>
    <row r="322" spans="24:41" ht="8.4499999999999993" hidden="1" customHeight="1">
      <c r="X322" s="269"/>
      <c r="Y322" s="269"/>
      <c r="Z322" s="269"/>
      <c r="AA322" s="269"/>
      <c r="AB322" s="269"/>
      <c r="AC322" s="269"/>
      <c r="AD322" s="269"/>
      <c r="AE322" s="269"/>
      <c r="AF322" s="269"/>
      <c r="AG322" s="269"/>
      <c r="AH322" s="269"/>
      <c r="AI322" s="269"/>
      <c r="AJ322" s="269"/>
      <c r="AK322" s="269"/>
      <c r="AL322" s="269"/>
      <c r="AM322" s="269"/>
      <c r="AN322" s="269"/>
      <c r="AO322" s="269"/>
    </row>
    <row r="323" spans="24:41" ht="8.4499999999999993" hidden="1" customHeight="1">
      <c r="X323" s="269"/>
      <c r="Y323" s="269"/>
      <c r="Z323" s="269"/>
      <c r="AA323" s="269"/>
      <c r="AB323" s="269"/>
      <c r="AC323" s="269"/>
      <c r="AD323" s="269"/>
      <c r="AE323" s="269"/>
      <c r="AF323" s="269"/>
      <c r="AG323" s="269"/>
      <c r="AH323" s="269"/>
      <c r="AI323" s="269"/>
      <c r="AJ323" s="269"/>
      <c r="AK323" s="269"/>
      <c r="AL323" s="269"/>
      <c r="AM323" s="269"/>
      <c r="AN323" s="269"/>
      <c r="AO323" s="269"/>
    </row>
    <row r="324" spans="24:41" ht="8.4499999999999993" hidden="1" customHeight="1">
      <c r="X324" s="269"/>
      <c r="Y324" s="269"/>
      <c r="Z324" s="269"/>
      <c r="AA324" s="269"/>
      <c r="AB324" s="269"/>
      <c r="AC324" s="269"/>
      <c r="AD324" s="269"/>
      <c r="AE324" s="269"/>
      <c r="AF324" s="269"/>
      <c r="AG324" s="269"/>
      <c r="AH324" s="269"/>
      <c r="AI324" s="269"/>
      <c r="AJ324" s="269"/>
      <c r="AK324" s="269"/>
      <c r="AL324" s="269"/>
      <c r="AM324" s="269"/>
      <c r="AN324" s="269"/>
      <c r="AO324" s="269"/>
    </row>
    <row r="325" spans="24:41" ht="8.4499999999999993" hidden="1" customHeight="1">
      <c r="X325" s="269"/>
      <c r="Y325" s="269"/>
      <c r="Z325" s="269"/>
      <c r="AA325" s="269"/>
      <c r="AB325" s="269"/>
      <c r="AC325" s="269"/>
      <c r="AD325" s="269"/>
      <c r="AE325" s="269"/>
      <c r="AF325" s="269"/>
      <c r="AG325" s="269"/>
      <c r="AH325" s="269"/>
      <c r="AI325" s="269"/>
      <c r="AJ325" s="269"/>
      <c r="AK325" s="269"/>
      <c r="AL325" s="269"/>
      <c r="AM325" s="269"/>
      <c r="AN325" s="269"/>
      <c r="AO325" s="269"/>
    </row>
    <row r="326" spans="24:41" ht="8.4499999999999993" hidden="1" customHeight="1">
      <c r="X326" s="269"/>
      <c r="Y326" s="269"/>
      <c r="Z326" s="269"/>
      <c r="AA326" s="269"/>
      <c r="AB326" s="269"/>
      <c r="AC326" s="269"/>
      <c r="AD326" s="269"/>
      <c r="AE326" s="269"/>
      <c r="AF326" s="269"/>
      <c r="AG326" s="269"/>
      <c r="AH326" s="269"/>
      <c r="AI326" s="269"/>
      <c r="AJ326" s="269"/>
      <c r="AK326" s="269"/>
      <c r="AL326" s="269"/>
      <c r="AM326" s="269"/>
      <c r="AN326" s="269"/>
      <c r="AO326" s="269"/>
    </row>
    <row r="327" spans="24:41" ht="8.4499999999999993" hidden="1" customHeight="1">
      <c r="X327" s="269"/>
      <c r="Y327" s="269"/>
      <c r="Z327" s="269"/>
      <c r="AA327" s="269"/>
      <c r="AB327" s="269"/>
      <c r="AC327" s="269"/>
      <c r="AD327" s="269"/>
      <c r="AE327" s="269"/>
      <c r="AF327" s="269"/>
      <c r="AG327" s="269"/>
      <c r="AH327" s="269"/>
      <c r="AI327" s="269"/>
      <c r="AJ327" s="269"/>
      <c r="AK327" s="269"/>
      <c r="AL327" s="269"/>
      <c r="AM327" s="269"/>
      <c r="AN327" s="269"/>
      <c r="AO327" s="269"/>
    </row>
    <row r="328" spans="24:41" ht="8.4499999999999993" hidden="1" customHeight="1">
      <c r="X328" s="269"/>
      <c r="Y328" s="269"/>
      <c r="Z328" s="269"/>
      <c r="AA328" s="269"/>
      <c r="AB328" s="269"/>
      <c r="AC328" s="269"/>
      <c r="AD328" s="269"/>
      <c r="AE328" s="269"/>
      <c r="AF328" s="269"/>
      <c r="AG328" s="269"/>
      <c r="AH328" s="269"/>
      <c r="AI328" s="269"/>
      <c r="AJ328" s="269"/>
      <c r="AK328" s="269"/>
      <c r="AL328" s="269"/>
      <c r="AM328" s="269"/>
      <c r="AN328" s="269"/>
      <c r="AO328" s="269"/>
    </row>
    <row r="329" spans="24:41" ht="8.4499999999999993" hidden="1" customHeight="1">
      <c r="X329" s="269"/>
      <c r="Y329" s="269"/>
      <c r="Z329" s="269"/>
      <c r="AA329" s="269"/>
      <c r="AB329" s="269"/>
      <c r="AC329" s="269"/>
      <c r="AD329" s="269"/>
      <c r="AE329" s="269"/>
      <c r="AF329" s="269"/>
      <c r="AG329" s="269"/>
      <c r="AH329" s="269"/>
      <c r="AI329" s="269"/>
      <c r="AJ329" s="269"/>
      <c r="AK329" s="269"/>
      <c r="AL329" s="269"/>
      <c r="AM329" s="269"/>
      <c r="AN329" s="269"/>
      <c r="AO329" s="269"/>
    </row>
    <row r="330" spans="24:41" ht="8.4499999999999993" hidden="1" customHeight="1">
      <c r="X330" s="269"/>
      <c r="Y330" s="269"/>
      <c r="Z330" s="269"/>
      <c r="AA330" s="269"/>
      <c r="AB330" s="269"/>
      <c r="AC330" s="269"/>
      <c r="AD330" s="269"/>
      <c r="AE330" s="269"/>
      <c r="AF330" s="269"/>
      <c r="AG330" s="269"/>
      <c r="AH330" s="269"/>
      <c r="AI330" s="269"/>
      <c r="AJ330" s="269"/>
      <c r="AK330" s="269"/>
      <c r="AL330" s="269"/>
      <c r="AM330" s="269"/>
      <c r="AN330" s="269"/>
      <c r="AO330" s="269"/>
    </row>
    <row r="331" spans="24:41" ht="8.4499999999999993" hidden="1" customHeight="1">
      <c r="X331" s="269"/>
      <c r="Y331" s="269"/>
      <c r="Z331" s="269"/>
      <c r="AA331" s="269"/>
      <c r="AB331" s="269"/>
      <c r="AC331" s="269"/>
      <c r="AD331" s="269"/>
      <c r="AE331" s="269"/>
      <c r="AF331" s="269"/>
      <c r="AG331" s="269"/>
      <c r="AH331" s="269"/>
      <c r="AI331" s="269"/>
      <c r="AJ331" s="269"/>
      <c r="AK331" s="269"/>
      <c r="AL331" s="269"/>
      <c r="AM331" s="269"/>
      <c r="AN331" s="269"/>
      <c r="AO331" s="269"/>
    </row>
    <row r="332" spans="24:41" ht="8.4499999999999993" hidden="1" customHeight="1">
      <c r="X332" s="269"/>
      <c r="Y332" s="269"/>
      <c r="Z332" s="269"/>
      <c r="AA332" s="269"/>
      <c r="AB332" s="269"/>
      <c r="AC332" s="269"/>
      <c r="AD332" s="269"/>
      <c r="AE332" s="269"/>
      <c r="AF332" s="269"/>
      <c r="AG332" s="269"/>
      <c r="AH332" s="269"/>
      <c r="AI332" s="269"/>
      <c r="AJ332" s="269"/>
      <c r="AK332" s="269"/>
      <c r="AL332" s="269"/>
      <c r="AM332" s="269"/>
      <c r="AN332" s="269"/>
      <c r="AO332" s="269"/>
    </row>
    <row r="333" spans="24:41" ht="8.4499999999999993" hidden="1" customHeight="1">
      <c r="X333" s="269"/>
      <c r="Y333" s="269"/>
      <c r="Z333" s="269"/>
      <c r="AA333" s="269"/>
      <c r="AB333" s="269"/>
      <c r="AC333" s="269"/>
      <c r="AD333" s="269"/>
      <c r="AE333" s="269"/>
      <c r="AF333" s="269"/>
      <c r="AG333" s="269"/>
      <c r="AH333" s="269"/>
      <c r="AI333" s="269"/>
      <c r="AJ333" s="269"/>
      <c r="AK333" s="269"/>
      <c r="AL333" s="269"/>
      <c r="AM333" s="269"/>
      <c r="AN333" s="269"/>
      <c r="AO333" s="269"/>
    </row>
    <row r="334" spans="24:41" ht="8.4499999999999993" hidden="1" customHeight="1">
      <c r="X334" s="259"/>
      <c r="Y334" s="259"/>
      <c r="Z334" s="259"/>
      <c r="AA334" s="259"/>
      <c r="AB334" s="259"/>
      <c r="AC334" s="259"/>
      <c r="AD334" s="259"/>
      <c r="AE334" s="259"/>
      <c r="AF334" s="259"/>
      <c r="AG334" s="259"/>
      <c r="AH334" s="259"/>
      <c r="AI334" s="259"/>
      <c r="AJ334" s="259"/>
      <c r="AK334" s="259"/>
      <c r="AL334" s="259"/>
      <c r="AM334" s="259"/>
      <c r="AN334" s="259"/>
      <c r="AO334" s="259"/>
    </row>
    <row r="335" spans="24:41" ht="8.4499999999999993" hidden="1" customHeight="1">
      <c r="X335" s="259"/>
      <c r="Y335" s="259"/>
      <c r="Z335" s="259"/>
      <c r="AA335" s="259"/>
      <c r="AB335" s="259"/>
      <c r="AC335" s="259"/>
      <c r="AD335" s="259"/>
      <c r="AE335" s="259"/>
      <c r="AF335" s="259"/>
      <c r="AG335" s="259"/>
      <c r="AH335" s="259"/>
      <c r="AI335" s="259"/>
      <c r="AJ335" s="259"/>
      <c r="AK335" s="259"/>
      <c r="AL335" s="259"/>
      <c r="AM335" s="259"/>
      <c r="AN335" s="259"/>
      <c r="AO335" s="259"/>
    </row>
    <row r="336" spans="24:41" ht="8.4499999999999993" hidden="1" customHeight="1">
      <c r="X336" s="269"/>
      <c r="Y336" s="269"/>
      <c r="Z336" s="269"/>
      <c r="AA336" s="269"/>
      <c r="AB336" s="269"/>
      <c r="AC336" s="269"/>
      <c r="AD336" s="269"/>
      <c r="AE336" s="269"/>
      <c r="AF336" s="269"/>
      <c r="AG336" s="269"/>
      <c r="AH336" s="269"/>
      <c r="AI336" s="269"/>
      <c r="AJ336" s="269"/>
      <c r="AK336" s="269"/>
      <c r="AL336" s="269"/>
      <c r="AM336" s="269"/>
      <c r="AN336" s="269"/>
      <c r="AO336" s="269"/>
    </row>
    <row r="337" spans="24:41" ht="8.4499999999999993" hidden="1" customHeight="1">
      <c r="X337" s="269"/>
      <c r="Y337" s="269"/>
      <c r="Z337" s="269"/>
      <c r="AA337" s="269"/>
      <c r="AB337" s="269"/>
      <c r="AC337" s="269"/>
      <c r="AD337" s="269"/>
      <c r="AE337" s="269"/>
      <c r="AF337" s="269"/>
      <c r="AG337" s="269"/>
      <c r="AH337" s="269"/>
      <c r="AI337" s="269"/>
      <c r="AJ337" s="269"/>
      <c r="AK337" s="269"/>
      <c r="AL337" s="269"/>
      <c r="AM337" s="269"/>
      <c r="AN337" s="269"/>
      <c r="AO337" s="269"/>
    </row>
    <row r="338" spans="24:41" ht="8.4499999999999993" hidden="1" customHeight="1">
      <c r="X338" s="269"/>
      <c r="Y338" s="269"/>
      <c r="Z338" s="269"/>
      <c r="AA338" s="269"/>
      <c r="AB338" s="269"/>
      <c r="AC338" s="269"/>
      <c r="AD338" s="269"/>
      <c r="AE338" s="269"/>
      <c r="AF338" s="269"/>
      <c r="AG338" s="269"/>
      <c r="AH338" s="269"/>
      <c r="AI338" s="269"/>
      <c r="AJ338" s="269"/>
      <c r="AK338" s="269"/>
      <c r="AL338" s="269"/>
      <c r="AM338" s="269"/>
      <c r="AN338" s="269"/>
      <c r="AO338" s="269"/>
    </row>
    <row r="339" spans="24:41" ht="8.4499999999999993" hidden="1" customHeight="1">
      <c r="X339" s="269"/>
      <c r="Y339" s="269"/>
      <c r="Z339" s="269"/>
      <c r="AA339" s="269"/>
      <c r="AB339" s="269"/>
      <c r="AC339" s="269"/>
      <c r="AD339" s="269"/>
      <c r="AE339" s="269"/>
      <c r="AF339" s="269"/>
      <c r="AG339" s="269"/>
      <c r="AH339" s="269"/>
      <c r="AI339" s="269"/>
      <c r="AJ339" s="269"/>
      <c r="AK339" s="269"/>
      <c r="AL339" s="269"/>
      <c r="AM339" s="269"/>
      <c r="AN339" s="269"/>
      <c r="AO339" s="269"/>
    </row>
    <row r="340" spans="24:41" ht="8.4499999999999993" hidden="1" customHeight="1">
      <c r="X340" s="269"/>
      <c r="Y340" s="269"/>
      <c r="Z340" s="269"/>
      <c r="AA340" s="269"/>
      <c r="AB340" s="269"/>
      <c r="AC340" s="269"/>
      <c r="AD340" s="269"/>
      <c r="AE340" s="269"/>
      <c r="AF340" s="269"/>
      <c r="AG340" s="269"/>
      <c r="AH340" s="269"/>
      <c r="AI340" s="269"/>
      <c r="AJ340" s="269"/>
      <c r="AK340" s="269"/>
      <c r="AL340" s="269"/>
      <c r="AM340" s="269"/>
      <c r="AN340" s="269"/>
      <c r="AO340" s="269"/>
    </row>
    <row r="341" spans="24:41" ht="8.4499999999999993" hidden="1" customHeight="1">
      <c r="X341" s="269"/>
      <c r="Y341" s="269"/>
      <c r="Z341" s="269"/>
      <c r="AA341" s="269"/>
      <c r="AB341" s="269"/>
      <c r="AC341" s="269"/>
      <c r="AD341" s="269"/>
      <c r="AE341" s="269"/>
      <c r="AF341" s="269"/>
      <c r="AG341" s="269"/>
      <c r="AH341" s="269"/>
      <c r="AI341" s="269"/>
      <c r="AJ341" s="269"/>
      <c r="AK341" s="269"/>
      <c r="AL341" s="269"/>
      <c r="AM341" s="269"/>
      <c r="AN341" s="269"/>
      <c r="AO341" s="269"/>
    </row>
    <row r="342" spans="24:41" ht="8.4499999999999993" hidden="1" customHeight="1">
      <c r="X342" s="269"/>
      <c r="Y342" s="269"/>
      <c r="Z342" s="269"/>
      <c r="AA342" s="269"/>
      <c r="AB342" s="269"/>
      <c r="AC342" s="269"/>
      <c r="AD342" s="269"/>
      <c r="AE342" s="269"/>
      <c r="AF342" s="269"/>
      <c r="AG342" s="269"/>
      <c r="AH342" s="269"/>
      <c r="AI342" s="269"/>
      <c r="AJ342" s="269"/>
      <c r="AK342" s="269"/>
      <c r="AL342" s="269"/>
      <c r="AM342" s="269"/>
      <c r="AN342" s="269"/>
      <c r="AO342" s="269"/>
    </row>
    <row r="343" spans="24:41" ht="8.4499999999999993" hidden="1" customHeight="1">
      <c r="X343" s="269"/>
      <c r="Y343" s="269"/>
      <c r="Z343" s="269"/>
      <c r="AA343" s="269"/>
      <c r="AB343" s="269"/>
      <c r="AC343" s="269"/>
      <c r="AD343" s="269"/>
      <c r="AE343" s="269"/>
      <c r="AF343" s="269"/>
      <c r="AG343" s="269"/>
      <c r="AH343" s="269"/>
      <c r="AI343" s="269"/>
      <c r="AJ343" s="269"/>
      <c r="AK343" s="269"/>
      <c r="AL343" s="269"/>
      <c r="AM343" s="269"/>
      <c r="AN343" s="269"/>
      <c r="AO343" s="269"/>
    </row>
    <row r="344" spans="24:41" ht="8.4499999999999993" hidden="1" customHeight="1">
      <c r="X344" s="269"/>
      <c r="Y344" s="269"/>
      <c r="Z344" s="269"/>
      <c r="AA344" s="269"/>
      <c r="AB344" s="269"/>
      <c r="AC344" s="269"/>
      <c r="AD344" s="269"/>
      <c r="AE344" s="269"/>
      <c r="AF344" s="269"/>
      <c r="AG344" s="269"/>
      <c r="AH344" s="269"/>
      <c r="AI344" s="269"/>
      <c r="AJ344" s="269"/>
      <c r="AK344" s="269"/>
      <c r="AL344" s="269"/>
      <c r="AM344" s="269"/>
      <c r="AN344" s="269"/>
      <c r="AO344" s="269"/>
    </row>
    <row r="345" spans="24:41" ht="8.4499999999999993" hidden="1" customHeight="1">
      <c r="X345" s="269"/>
      <c r="Y345" s="269"/>
      <c r="Z345" s="269"/>
      <c r="AA345" s="269"/>
      <c r="AB345" s="269"/>
      <c r="AC345" s="269"/>
      <c r="AD345" s="269"/>
      <c r="AE345" s="269"/>
      <c r="AF345" s="269"/>
      <c r="AG345" s="269"/>
      <c r="AH345" s="269"/>
      <c r="AI345" s="269"/>
      <c r="AJ345" s="269"/>
      <c r="AK345" s="269"/>
      <c r="AL345" s="269"/>
      <c r="AM345" s="269"/>
      <c r="AN345" s="269"/>
      <c r="AO345" s="269"/>
    </row>
    <row r="346" spans="24:41" ht="8.4499999999999993" hidden="1" customHeight="1">
      <c r="X346" s="269"/>
      <c r="Y346" s="269"/>
      <c r="Z346" s="269"/>
      <c r="AA346" s="269"/>
      <c r="AB346" s="269"/>
      <c r="AC346" s="269"/>
      <c r="AD346" s="269"/>
      <c r="AE346" s="269"/>
      <c r="AF346" s="269"/>
      <c r="AG346" s="269"/>
      <c r="AH346" s="269"/>
      <c r="AI346" s="269"/>
      <c r="AJ346" s="269"/>
      <c r="AK346" s="269"/>
      <c r="AL346" s="269"/>
      <c r="AM346" s="269"/>
      <c r="AN346" s="269"/>
      <c r="AO346" s="269"/>
    </row>
    <row r="347" spans="24:41" ht="8.4499999999999993" hidden="1" customHeight="1">
      <c r="X347" s="269"/>
      <c r="Y347" s="269"/>
      <c r="Z347" s="269"/>
      <c r="AA347" s="269"/>
      <c r="AB347" s="269"/>
      <c r="AC347" s="269"/>
      <c r="AD347" s="269"/>
      <c r="AE347" s="269"/>
      <c r="AF347" s="269"/>
      <c r="AG347" s="269"/>
      <c r="AH347" s="269"/>
      <c r="AI347" s="269"/>
      <c r="AJ347" s="269"/>
      <c r="AK347" s="269"/>
      <c r="AL347" s="269"/>
      <c r="AM347" s="269"/>
      <c r="AN347" s="269"/>
      <c r="AO347" s="269"/>
    </row>
    <row r="348" spans="24:41" ht="8.4499999999999993" hidden="1" customHeight="1">
      <c r="X348" s="269"/>
      <c r="Y348" s="269"/>
      <c r="Z348" s="269"/>
      <c r="AA348" s="269"/>
      <c r="AB348" s="269"/>
      <c r="AC348" s="269"/>
      <c r="AD348" s="269"/>
      <c r="AE348" s="269"/>
      <c r="AF348" s="269"/>
      <c r="AG348" s="269"/>
      <c r="AH348" s="269"/>
      <c r="AI348" s="269"/>
      <c r="AJ348" s="269"/>
      <c r="AK348" s="269"/>
      <c r="AL348" s="269"/>
      <c r="AM348" s="269"/>
      <c r="AN348" s="269"/>
      <c r="AO348" s="269"/>
    </row>
    <row r="349" spans="24:41" ht="8.4499999999999993" hidden="1" customHeight="1">
      <c r="X349" s="269"/>
      <c r="Y349" s="269"/>
      <c r="Z349" s="269"/>
      <c r="AA349" s="269"/>
      <c r="AB349" s="269"/>
      <c r="AC349" s="269"/>
      <c r="AD349" s="269"/>
      <c r="AE349" s="269"/>
      <c r="AF349" s="269"/>
      <c r="AG349" s="269"/>
      <c r="AH349" s="269"/>
      <c r="AI349" s="269"/>
      <c r="AJ349" s="269"/>
      <c r="AK349" s="269"/>
      <c r="AL349" s="269"/>
      <c r="AM349" s="269"/>
      <c r="AN349" s="269"/>
      <c r="AO349" s="269"/>
    </row>
    <row r="350" spans="24:41" ht="8.4499999999999993" hidden="1" customHeight="1">
      <c r="X350" s="269"/>
      <c r="Y350" s="269"/>
      <c r="Z350" s="269"/>
      <c r="AA350" s="269"/>
      <c r="AB350" s="269"/>
      <c r="AC350" s="269"/>
      <c r="AD350" s="269"/>
      <c r="AE350" s="269"/>
      <c r="AF350" s="269"/>
      <c r="AG350" s="269"/>
      <c r="AH350" s="269"/>
      <c r="AI350" s="269"/>
      <c r="AJ350" s="269"/>
      <c r="AK350" s="269"/>
      <c r="AL350" s="269"/>
      <c r="AM350" s="269"/>
      <c r="AN350" s="269"/>
      <c r="AO350" s="269"/>
    </row>
    <row r="351" spans="24:41" ht="8.4499999999999993" hidden="1" customHeight="1">
      <c r="X351" s="269"/>
      <c r="Y351" s="269"/>
      <c r="Z351" s="269"/>
      <c r="AA351" s="269"/>
      <c r="AB351" s="269"/>
      <c r="AC351" s="269"/>
      <c r="AD351" s="269"/>
      <c r="AE351" s="269"/>
      <c r="AF351" s="269"/>
      <c r="AG351" s="269"/>
      <c r="AH351" s="269"/>
      <c r="AI351" s="269"/>
      <c r="AJ351" s="269"/>
      <c r="AK351" s="269"/>
      <c r="AL351" s="269"/>
      <c r="AM351" s="269"/>
      <c r="AN351" s="269"/>
      <c r="AO351" s="269"/>
    </row>
    <row r="352" spans="24:41" ht="8.4499999999999993" hidden="1" customHeight="1">
      <c r="X352" s="269"/>
      <c r="Y352" s="269"/>
      <c r="Z352" s="269"/>
      <c r="AA352" s="269"/>
      <c r="AB352" s="269"/>
      <c r="AC352" s="269"/>
      <c r="AD352" s="269"/>
      <c r="AE352" s="269"/>
      <c r="AF352" s="269"/>
      <c r="AG352" s="269"/>
      <c r="AH352" s="269"/>
      <c r="AI352" s="269"/>
      <c r="AJ352" s="269"/>
      <c r="AK352" s="269"/>
      <c r="AL352" s="269"/>
      <c r="AM352" s="269"/>
      <c r="AN352" s="269"/>
      <c r="AO352" s="269"/>
    </row>
    <row r="353" spans="24:41" ht="8.4499999999999993" hidden="1" customHeight="1">
      <c r="X353" s="269"/>
      <c r="Y353" s="269"/>
      <c r="Z353" s="269"/>
      <c r="AA353" s="269"/>
      <c r="AB353" s="269"/>
      <c r="AC353" s="269"/>
      <c r="AD353" s="269"/>
      <c r="AE353" s="269"/>
      <c r="AF353" s="269"/>
      <c r="AG353" s="269"/>
      <c r="AH353" s="269"/>
      <c r="AI353" s="269"/>
      <c r="AJ353" s="269"/>
      <c r="AK353" s="269"/>
      <c r="AL353" s="269"/>
      <c r="AM353" s="269"/>
      <c r="AN353" s="269"/>
      <c r="AO353" s="269"/>
    </row>
    <row r="354" spans="24:41" ht="8.4499999999999993" hidden="1" customHeight="1">
      <c r="X354" s="269"/>
      <c r="Y354" s="269"/>
      <c r="Z354" s="269"/>
      <c r="AA354" s="269"/>
      <c r="AB354" s="269"/>
      <c r="AC354" s="269"/>
      <c r="AD354" s="269"/>
      <c r="AE354" s="269"/>
      <c r="AF354" s="269"/>
      <c r="AG354" s="269"/>
      <c r="AH354" s="269"/>
      <c r="AI354" s="269"/>
      <c r="AJ354" s="269"/>
      <c r="AK354" s="269"/>
      <c r="AL354" s="269"/>
      <c r="AM354" s="269"/>
      <c r="AN354" s="269"/>
      <c r="AO354" s="269"/>
    </row>
    <row r="355" spans="24:41" ht="8.4499999999999993" hidden="1" customHeight="1">
      <c r="X355" s="269"/>
      <c r="Y355" s="269"/>
      <c r="Z355" s="269"/>
      <c r="AA355" s="269"/>
      <c r="AB355" s="269"/>
      <c r="AC355" s="269"/>
      <c r="AD355" s="269"/>
      <c r="AE355" s="269"/>
      <c r="AF355" s="269"/>
      <c r="AG355" s="269"/>
      <c r="AH355" s="269"/>
      <c r="AI355" s="269"/>
      <c r="AJ355" s="269"/>
      <c r="AK355" s="269"/>
      <c r="AL355" s="269"/>
      <c r="AM355" s="269"/>
      <c r="AN355" s="269"/>
      <c r="AO355" s="269"/>
    </row>
    <row r="356" spans="24:41" ht="8.4499999999999993" hidden="1" customHeight="1">
      <c r="X356" s="269"/>
      <c r="Y356" s="269"/>
      <c r="Z356" s="269"/>
      <c r="AA356" s="269"/>
      <c r="AB356" s="269"/>
      <c r="AC356" s="269"/>
      <c r="AD356" s="269"/>
      <c r="AE356" s="269"/>
      <c r="AF356" s="269"/>
      <c r="AG356" s="269"/>
      <c r="AH356" s="269"/>
      <c r="AI356" s="269"/>
      <c r="AJ356" s="269"/>
      <c r="AK356" s="269"/>
      <c r="AL356" s="269"/>
      <c r="AM356" s="269"/>
      <c r="AN356" s="269"/>
      <c r="AO356" s="269"/>
    </row>
    <row r="357" spans="24:41" ht="8.4499999999999993" hidden="1" customHeight="1">
      <c r="X357" s="269"/>
      <c r="Y357" s="269"/>
      <c r="Z357" s="269"/>
      <c r="AA357" s="269"/>
      <c r="AB357" s="269"/>
      <c r="AC357" s="269"/>
      <c r="AD357" s="269"/>
      <c r="AE357" s="269"/>
      <c r="AF357" s="269"/>
      <c r="AG357" s="269"/>
      <c r="AH357" s="269"/>
      <c r="AI357" s="269"/>
      <c r="AJ357" s="269"/>
      <c r="AK357" s="269"/>
      <c r="AL357" s="269"/>
      <c r="AM357" s="269"/>
      <c r="AN357" s="269"/>
      <c r="AO357" s="269"/>
    </row>
    <row r="358" spans="24:41" ht="8.4499999999999993" hidden="1" customHeight="1">
      <c r="X358" s="269"/>
      <c r="Y358" s="269"/>
      <c r="Z358" s="269"/>
      <c r="AA358" s="269"/>
      <c r="AB358" s="269"/>
      <c r="AC358" s="269"/>
      <c r="AD358" s="269"/>
      <c r="AE358" s="269"/>
      <c r="AF358" s="269"/>
      <c r="AG358" s="269"/>
      <c r="AH358" s="269"/>
      <c r="AI358" s="269"/>
      <c r="AJ358" s="269"/>
      <c r="AK358" s="269"/>
      <c r="AL358" s="269"/>
      <c r="AM358" s="269"/>
      <c r="AN358" s="269"/>
      <c r="AO358" s="269"/>
    </row>
    <row r="359" spans="24:41" ht="8.4499999999999993" hidden="1" customHeight="1">
      <c r="X359" s="269"/>
      <c r="Y359" s="269"/>
      <c r="Z359" s="269"/>
      <c r="AA359" s="269"/>
      <c r="AB359" s="269"/>
      <c r="AC359" s="269"/>
      <c r="AD359" s="269"/>
      <c r="AE359" s="269"/>
      <c r="AF359" s="269"/>
      <c r="AG359" s="269"/>
      <c r="AH359" s="269"/>
      <c r="AI359" s="269"/>
      <c r="AJ359" s="269"/>
      <c r="AK359" s="269"/>
      <c r="AL359" s="269"/>
      <c r="AM359" s="269"/>
      <c r="AN359" s="269"/>
      <c r="AO359" s="269"/>
    </row>
    <row r="360" spans="24:41" ht="8.4499999999999993" hidden="1" customHeight="1">
      <c r="X360" s="269"/>
      <c r="Y360" s="269"/>
      <c r="Z360" s="269"/>
      <c r="AA360" s="269"/>
      <c r="AB360" s="269"/>
      <c r="AC360" s="269"/>
      <c r="AD360" s="269"/>
      <c r="AE360" s="269"/>
      <c r="AF360" s="269"/>
      <c r="AG360" s="269"/>
      <c r="AH360" s="269"/>
      <c r="AI360" s="269"/>
      <c r="AJ360" s="269"/>
      <c r="AK360" s="269"/>
      <c r="AL360" s="269"/>
      <c r="AM360" s="269"/>
      <c r="AN360" s="269"/>
      <c r="AO360" s="269"/>
    </row>
    <row r="361" spans="24:41" ht="8.4499999999999993" hidden="1" customHeight="1">
      <c r="X361" s="269"/>
      <c r="Y361" s="269"/>
      <c r="Z361" s="269"/>
      <c r="AA361" s="269"/>
      <c r="AB361" s="269"/>
      <c r="AC361" s="269"/>
      <c r="AD361" s="269"/>
      <c r="AE361" s="269"/>
      <c r="AF361" s="269"/>
      <c r="AG361" s="269"/>
      <c r="AH361" s="269"/>
      <c r="AI361" s="269"/>
      <c r="AJ361" s="269"/>
      <c r="AK361" s="269"/>
      <c r="AL361" s="269"/>
      <c r="AM361" s="269"/>
      <c r="AN361" s="269"/>
      <c r="AO361" s="269"/>
    </row>
    <row r="362" spans="24:41" ht="8.4499999999999993" hidden="1" customHeight="1">
      <c r="X362" s="269"/>
      <c r="Y362" s="269"/>
      <c r="Z362" s="269"/>
      <c r="AA362" s="269"/>
      <c r="AB362" s="269"/>
      <c r="AC362" s="269"/>
      <c r="AD362" s="269"/>
      <c r="AE362" s="269"/>
      <c r="AF362" s="269"/>
      <c r="AG362" s="269"/>
      <c r="AH362" s="269"/>
      <c r="AI362" s="269"/>
      <c r="AJ362" s="269"/>
      <c r="AK362" s="269"/>
      <c r="AL362" s="269"/>
      <c r="AM362" s="269"/>
      <c r="AN362" s="269"/>
      <c r="AO362" s="269"/>
    </row>
    <row r="363" spans="24:41" ht="8.4499999999999993" hidden="1" customHeight="1">
      <c r="X363" s="269"/>
      <c r="Y363" s="269"/>
      <c r="Z363" s="269"/>
      <c r="AA363" s="269"/>
      <c r="AB363" s="269"/>
      <c r="AC363" s="269"/>
      <c r="AD363" s="269"/>
      <c r="AE363" s="269"/>
      <c r="AF363" s="269"/>
      <c r="AG363" s="269"/>
      <c r="AH363" s="269"/>
      <c r="AI363" s="269"/>
      <c r="AJ363" s="269"/>
      <c r="AK363" s="269"/>
      <c r="AL363" s="269"/>
      <c r="AM363" s="269"/>
      <c r="AN363" s="269"/>
      <c r="AO363" s="269"/>
    </row>
    <row r="364" spans="24:41" ht="8.4499999999999993" hidden="1" customHeight="1">
      <c r="X364" s="269"/>
      <c r="Y364" s="269"/>
      <c r="Z364" s="269"/>
      <c r="AA364" s="269"/>
      <c r="AB364" s="269"/>
      <c r="AC364" s="269"/>
      <c r="AD364" s="269"/>
      <c r="AE364" s="269"/>
      <c r="AF364" s="269"/>
      <c r="AG364" s="269"/>
      <c r="AH364" s="269"/>
      <c r="AI364" s="269"/>
      <c r="AJ364" s="269"/>
      <c r="AK364" s="269"/>
      <c r="AL364" s="269"/>
      <c r="AM364" s="269"/>
      <c r="AN364" s="269"/>
      <c r="AO364" s="269"/>
    </row>
    <row r="365" spans="24:41" ht="8.4499999999999993" hidden="1" customHeight="1">
      <c r="X365" s="269"/>
      <c r="Y365" s="269"/>
      <c r="Z365" s="269"/>
      <c r="AA365" s="269"/>
      <c r="AB365" s="269"/>
      <c r="AC365" s="269"/>
      <c r="AD365" s="269"/>
      <c r="AE365" s="269"/>
      <c r="AF365" s="269"/>
      <c r="AG365" s="269"/>
      <c r="AH365" s="269"/>
      <c r="AI365" s="269"/>
      <c r="AJ365" s="269"/>
      <c r="AK365" s="269"/>
      <c r="AL365" s="269"/>
      <c r="AM365" s="269"/>
      <c r="AN365" s="269"/>
      <c r="AO365" s="269"/>
    </row>
    <row r="366" spans="24:41" ht="8.4499999999999993" hidden="1" customHeight="1">
      <c r="X366" s="269"/>
      <c r="Y366" s="269"/>
      <c r="Z366" s="269"/>
      <c r="AA366" s="269"/>
      <c r="AB366" s="269"/>
      <c r="AC366" s="269"/>
      <c r="AD366" s="269"/>
      <c r="AE366" s="269"/>
      <c r="AF366" s="269"/>
      <c r="AG366" s="269"/>
      <c r="AH366" s="269"/>
      <c r="AI366" s="269"/>
      <c r="AJ366" s="269"/>
      <c r="AK366" s="269"/>
      <c r="AL366" s="269"/>
      <c r="AM366" s="269"/>
      <c r="AN366" s="269"/>
      <c r="AO366" s="269"/>
    </row>
    <row r="367" spans="24:41" ht="8.4499999999999993" hidden="1" customHeight="1">
      <c r="X367" s="269"/>
      <c r="Y367" s="269"/>
      <c r="Z367" s="269"/>
      <c r="AA367" s="269"/>
      <c r="AB367" s="269"/>
      <c r="AC367" s="269"/>
      <c r="AD367" s="269"/>
      <c r="AE367" s="269"/>
      <c r="AF367" s="269"/>
      <c r="AG367" s="269"/>
      <c r="AH367" s="269"/>
      <c r="AI367" s="269"/>
      <c r="AJ367" s="269"/>
      <c r="AK367" s="269"/>
      <c r="AL367" s="269"/>
      <c r="AM367" s="269"/>
      <c r="AN367" s="269"/>
      <c r="AO367" s="269"/>
    </row>
    <row r="368" spans="24:41" ht="8.4499999999999993" hidden="1" customHeight="1">
      <c r="X368" s="269"/>
      <c r="Y368" s="269"/>
      <c r="Z368" s="269"/>
      <c r="AA368" s="269"/>
      <c r="AB368" s="269"/>
      <c r="AC368" s="269"/>
      <c r="AD368" s="269"/>
      <c r="AE368" s="269"/>
      <c r="AF368" s="269"/>
      <c r="AG368" s="269"/>
      <c r="AH368" s="269"/>
      <c r="AI368" s="269"/>
      <c r="AJ368" s="269"/>
      <c r="AK368" s="269"/>
      <c r="AL368" s="269"/>
      <c r="AM368" s="269"/>
      <c r="AN368" s="269"/>
      <c r="AO368" s="269"/>
    </row>
    <row r="369" spans="24:41" ht="8.4499999999999993" hidden="1" customHeight="1">
      <c r="X369" s="269"/>
      <c r="Y369" s="269"/>
      <c r="Z369" s="269"/>
      <c r="AA369" s="269"/>
      <c r="AB369" s="269"/>
      <c r="AC369" s="269"/>
      <c r="AD369" s="269"/>
      <c r="AE369" s="269"/>
      <c r="AF369" s="269"/>
      <c r="AG369" s="269"/>
      <c r="AH369" s="269"/>
      <c r="AI369" s="269"/>
      <c r="AJ369" s="269"/>
      <c r="AK369" s="269"/>
      <c r="AL369" s="269"/>
      <c r="AM369" s="269"/>
      <c r="AN369" s="269"/>
      <c r="AO369" s="269"/>
    </row>
    <row r="370" spans="24:41" ht="8.4499999999999993" hidden="1" customHeight="1">
      <c r="X370" s="269"/>
      <c r="Y370" s="269"/>
      <c r="Z370" s="269"/>
      <c r="AA370" s="269"/>
      <c r="AB370" s="269"/>
      <c r="AC370" s="269"/>
      <c r="AD370" s="269"/>
      <c r="AE370" s="269"/>
      <c r="AF370" s="269"/>
      <c r="AG370" s="269"/>
      <c r="AH370" s="269"/>
      <c r="AI370" s="269"/>
      <c r="AJ370" s="269"/>
      <c r="AK370" s="269"/>
      <c r="AL370" s="269"/>
      <c r="AM370" s="269"/>
      <c r="AN370" s="269"/>
      <c r="AO370" s="269"/>
    </row>
    <row r="371" spans="24:41" ht="8.4499999999999993" hidden="1" customHeight="1">
      <c r="X371" s="269"/>
      <c r="Y371" s="269"/>
      <c r="Z371" s="269"/>
      <c r="AA371" s="269"/>
      <c r="AB371" s="269"/>
      <c r="AC371" s="269"/>
      <c r="AD371" s="269"/>
      <c r="AE371" s="269"/>
      <c r="AF371" s="269"/>
      <c r="AG371" s="269"/>
      <c r="AH371" s="269"/>
      <c r="AI371" s="269"/>
      <c r="AJ371" s="269"/>
      <c r="AK371" s="269"/>
      <c r="AL371" s="269"/>
      <c r="AM371" s="269"/>
      <c r="AN371" s="269"/>
      <c r="AO371" s="269"/>
    </row>
    <row r="372" spans="24:41" ht="8.4499999999999993" hidden="1" customHeight="1">
      <c r="X372" s="269"/>
      <c r="Y372" s="269"/>
      <c r="Z372" s="269"/>
      <c r="AA372" s="269"/>
      <c r="AB372" s="269"/>
      <c r="AC372" s="269"/>
      <c r="AD372" s="269"/>
      <c r="AE372" s="269"/>
      <c r="AF372" s="269"/>
      <c r="AG372" s="269"/>
      <c r="AH372" s="269"/>
      <c r="AI372" s="269"/>
      <c r="AJ372" s="269"/>
      <c r="AK372" s="269"/>
      <c r="AL372" s="269"/>
      <c r="AM372" s="269"/>
      <c r="AN372" s="269"/>
      <c r="AO372" s="269"/>
    </row>
    <row r="373" spans="24:41" ht="8.4499999999999993" hidden="1" customHeight="1">
      <c r="X373" s="269"/>
      <c r="Y373" s="269"/>
      <c r="Z373" s="269"/>
      <c r="AA373" s="269"/>
      <c r="AB373" s="269"/>
      <c r="AC373" s="269"/>
      <c r="AD373" s="269"/>
      <c r="AE373" s="269"/>
      <c r="AF373" s="269"/>
      <c r="AG373" s="269"/>
      <c r="AH373" s="269"/>
      <c r="AI373" s="269"/>
      <c r="AJ373" s="269"/>
      <c r="AK373" s="269"/>
      <c r="AL373" s="269"/>
      <c r="AM373" s="269"/>
      <c r="AN373" s="269"/>
      <c r="AO373" s="269"/>
    </row>
    <row r="374" spans="24:41" ht="8.4499999999999993" hidden="1" customHeight="1">
      <c r="X374" s="269"/>
      <c r="Y374" s="269"/>
      <c r="Z374" s="269"/>
      <c r="AA374" s="269"/>
      <c r="AB374" s="269"/>
      <c r="AC374" s="269"/>
      <c r="AD374" s="269"/>
      <c r="AE374" s="269"/>
      <c r="AF374" s="269"/>
      <c r="AG374" s="269"/>
      <c r="AH374" s="269"/>
      <c r="AI374" s="269"/>
      <c r="AJ374" s="269"/>
      <c r="AK374" s="269"/>
      <c r="AL374" s="269"/>
      <c r="AM374" s="269"/>
      <c r="AN374" s="269"/>
      <c r="AO374" s="269"/>
    </row>
    <row r="375" spans="24:41" ht="8.4499999999999993" hidden="1" customHeight="1">
      <c r="X375" s="269"/>
      <c r="Y375" s="269"/>
      <c r="Z375" s="269"/>
      <c r="AA375" s="269"/>
      <c r="AB375" s="269"/>
      <c r="AC375" s="269"/>
      <c r="AD375" s="269"/>
      <c r="AE375" s="269"/>
      <c r="AF375" s="269"/>
      <c r="AG375" s="269"/>
      <c r="AH375" s="269"/>
      <c r="AI375" s="269"/>
      <c r="AJ375" s="269"/>
      <c r="AK375" s="269"/>
      <c r="AL375" s="269"/>
      <c r="AM375" s="269"/>
      <c r="AN375" s="269"/>
      <c r="AO375" s="269"/>
    </row>
    <row r="376" spans="24:41" ht="8.4499999999999993" hidden="1" customHeight="1">
      <c r="X376" s="269"/>
      <c r="Y376" s="269"/>
      <c r="Z376" s="269"/>
      <c r="AA376" s="269"/>
      <c r="AB376" s="269"/>
      <c r="AC376" s="269"/>
      <c r="AD376" s="269"/>
      <c r="AE376" s="269"/>
      <c r="AF376" s="269"/>
      <c r="AG376" s="269"/>
      <c r="AH376" s="269"/>
      <c r="AI376" s="269"/>
      <c r="AJ376" s="269"/>
      <c r="AK376" s="269"/>
      <c r="AL376" s="269"/>
      <c r="AM376" s="269"/>
      <c r="AN376" s="269"/>
      <c r="AO376" s="269"/>
    </row>
    <row r="377" spans="24:41" ht="8.4499999999999993" hidden="1" customHeight="1">
      <c r="X377" s="269"/>
      <c r="Y377" s="269"/>
      <c r="Z377" s="269"/>
      <c r="AA377" s="269"/>
      <c r="AB377" s="269"/>
      <c r="AC377" s="269"/>
      <c r="AD377" s="269"/>
      <c r="AE377" s="269"/>
      <c r="AF377" s="269"/>
      <c r="AG377" s="269"/>
      <c r="AH377" s="269"/>
      <c r="AI377" s="269"/>
      <c r="AJ377" s="269"/>
      <c r="AK377" s="269"/>
      <c r="AL377" s="269"/>
      <c r="AM377" s="269"/>
      <c r="AN377" s="269"/>
      <c r="AO377" s="269"/>
    </row>
    <row r="378" spans="24:41" ht="8.4499999999999993" hidden="1" customHeight="1">
      <c r="X378" s="269"/>
      <c r="Y378" s="269"/>
      <c r="Z378" s="269"/>
      <c r="AA378" s="269"/>
      <c r="AB378" s="269"/>
      <c r="AC378" s="269"/>
      <c r="AD378" s="269"/>
      <c r="AE378" s="269"/>
      <c r="AF378" s="269"/>
      <c r="AG378" s="269"/>
      <c r="AH378" s="269"/>
      <c r="AI378" s="269"/>
      <c r="AJ378" s="269"/>
      <c r="AK378" s="269"/>
      <c r="AL378" s="269"/>
      <c r="AM378" s="269"/>
      <c r="AN378" s="269"/>
      <c r="AO378" s="269"/>
    </row>
    <row r="379" spans="24:41" ht="8.4499999999999993" hidden="1" customHeight="1">
      <c r="X379" s="269"/>
      <c r="Y379" s="269"/>
      <c r="Z379" s="269"/>
      <c r="AA379" s="269"/>
      <c r="AB379" s="269"/>
      <c r="AC379" s="269"/>
      <c r="AD379" s="269"/>
      <c r="AE379" s="269"/>
      <c r="AF379" s="269"/>
      <c r="AG379" s="269"/>
      <c r="AH379" s="269"/>
      <c r="AI379" s="269"/>
      <c r="AJ379" s="269"/>
      <c r="AK379" s="269"/>
      <c r="AL379" s="269"/>
      <c r="AM379" s="269"/>
      <c r="AN379" s="269"/>
      <c r="AO379" s="269"/>
    </row>
    <row r="380" spans="24:41" ht="8.4499999999999993" hidden="1" customHeight="1">
      <c r="X380" s="269"/>
      <c r="Y380" s="269"/>
      <c r="Z380" s="269"/>
      <c r="AA380" s="269"/>
      <c r="AB380" s="269"/>
      <c r="AC380" s="269"/>
      <c r="AD380" s="269"/>
      <c r="AE380" s="269"/>
      <c r="AF380" s="269"/>
      <c r="AG380" s="269"/>
      <c r="AH380" s="269"/>
      <c r="AI380" s="269"/>
      <c r="AJ380" s="269"/>
      <c r="AK380" s="269"/>
      <c r="AL380" s="269"/>
      <c r="AM380" s="269"/>
      <c r="AN380" s="269"/>
      <c r="AO380" s="269"/>
    </row>
    <row r="381" spans="24:41" ht="8.4499999999999993" hidden="1" customHeight="1">
      <c r="X381" s="269"/>
      <c r="Y381" s="269"/>
      <c r="Z381" s="269"/>
      <c r="AA381" s="269"/>
      <c r="AB381" s="269"/>
      <c r="AC381" s="269"/>
      <c r="AD381" s="269"/>
      <c r="AE381" s="269"/>
      <c r="AF381" s="269"/>
      <c r="AG381" s="269"/>
      <c r="AH381" s="269"/>
      <c r="AI381" s="269"/>
      <c r="AJ381" s="269"/>
      <c r="AK381" s="269"/>
      <c r="AL381" s="269"/>
      <c r="AM381" s="269"/>
      <c r="AN381" s="269"/>
      <c r="AO381" s="269"/>
    </row>
    <row r="382" spans="24:41" ht="8.4499999999999993" hidden="1" customHeight="1">
      <c r="X382" s="269"/>
      <c r="Y382" s="269"/>
      <c r="Z382" s="269"/>
      <c r="AA382" s="269"/>
      <c r="AB382" s="269"/>
      <c r="AC382" s="269"/>
      <c r="AD382" s="269"/>
      <c r="AE382" s="269"/>
      <c r="AF382" s="269"/>
      <c r="AG382" s="269"/>
      <c r="AH382" s="269"/>
      <c r="AI382" s="269"/>
      <c r="AJ382" s="269"/>
      <c r="AK382" s="269"/>
      <c r="AL382" s="269"/>
      <c r="AM382" s="269"/>
      <c r="AN382" s="269"/>
      <c r="AO382" s="269"/>
    </row>
    <row r="383" spans="24:41" ht="8.4499999999999993" hidden="1" customHeight="1">
      <c r="X383" s="269"/>
      <c r="Y383" s="269"/>
      <c r="Z383" s="269"/>
      <c r="AA383" s="269"/>
      <c r="AB383" s="269"/>
      <c r="AC383" s="269"/>
      <c r="AD383" s="269"/>
      <c r="AE383" s="269"/>
      <c r="AF383" s="269"/>
      <c r="AG383" s="269"/>
      <c r="AH383" s="269"/>
      <c r="AI383" s="269"/>
      <c r="AJ383" s="269"/>
      <c r="AK383" s="269"/>
      <c r="AL383" s="269"/>
      <c r="AM383" s="269"/>
      <c r="AN383" s="269"/>
      <c r="AO383" s="269"/>
    </row>
    <row r="384" spans="24:41" ht="8.4499999999999993" hidden="1" customHeight="1">
      <c r="X384" s="269"/>
      <c r="Y384" s="269"/>
      <c r="Z384" s="269"/>
      <c r="AA384" s="269"/>
      <c r="AB384" s="269"/>
      <c r="AC384" s="269"/>
      <c r="AD384" s="269"/>
      <c r="AE384" s="269"/>
      <c r="AF384" s="269"/>
      <c r="AG384" s="269"/>
      <c r="AH384" s="269"/>
      <c r="AI384" s="269"/>
      <c r="AJ384" s="269"/>
      <c r="AK384" s="269"/>
      <c r="AL384" s="269"/>
      <c r="AM384" s="269"/>
      <c r="AN384" s="269"/>
      <c r="AO384" s="269"/>
    </row>
    <row r="385" spans="24:41" ht="8.4499999999999993" hidden="1" customHeight="1">
      <c r="X385" s="269"/>
      <c r="Y385" s="269"/>
      <c r="Z385" s="269"/>
      <c r="AA385" s="269"/>
      <c r="AB385" s="269"/>
      <c r="AC385" s="269"/>
      <c r="AD385" s="269"/>
      <c r="AE385" s="269"/>
      <c r="AF385" s="269"/>
      <c r="AG385" s="269"/>
      <c r="AH385" s="269"/>
      <c r="AI385" s="269"/>
      <c r="AJ385" s="269"/>
      <c r="AK385" s="269"/>
      <c r="AL385" s="269"/>
      <c r="AM385" s="269"/>
      <c r="AN385" s="269"/>
      <c r="AO385" s="269"/>
    </row>
    <row r="386" spans="24:41" ht="8.4499999999999993" hidden="1" customHeight="1">
      <c r="X386" s="269"/>
      <c r="Y386" s="269"/>
      <c r="Z386" s="269"/>
      <c r="AA386" s="269"/>
      <c r="AB386" s="269"/>
      <c r="AC386" s="269"/>
      <c r="AD386" s="269"/>
      <c r="AE386" s="269"/>
      <c r="AF386" s="269"/>
      <c r="AG386" s="269"/>
      <c r="AH386" s="269"/>
      <c r="AI386" s="269"/>
      <c r="AJ386" s="269"/>
      <c r="AK386" s="269"/>
      <c r="AL386" s="269"/>
      <c r="AM386" s="269"/>
      <c r="AN386" s="269"/>
      <c r="AO386" s="269"/>
    </row>
    <row r="387" spans="24:41" ht="8.4499999999999993" hidden="1" customHeight="1">
      <c r="X387" s="269"/>
      <c r="Y387" s="269"/>
      <c r="Z387" s="269"/>
      <c r="AA387" s="269"/>
      <c r="AB387" s="269"/>
      <c r="AC387" s="269"/>
      <c r="AD387" s="269"/>
      <c r="AE387" s="269"/>
      <c r="AF387" s="269"/>
      <c r="AG387" s="269"/>
      <c r="AH387" s="269"/>
      <c r="AI387" s="269"/>
      <c r="AJ387" s="269"/>
      <c r="AK387" s="269"/>
      <c r="AL387" s="269"/>
      <c r="AM387" s="269"/>
      <c r="AN387" s="269"/>
      <c r="AO387" s="269"/>
    </row>
    <row r="388" spans="24:41" ht="8.4499999999999993" hidden="1" customHeight="1">
      <c r="X388" s="269"/>
      <c r="Y388" s="269"/>
      <c r="Z388" s="269"/>
      <c r="AA388" s="269"/>
      <c r="AB388" s="269"/>
      <c r="AC388" s="269"/>
      <c r="AD388" s="269"/>
      <c r="AE388" s="269"/>
      <c r="AF388" s="269"/>
      <c r="AG388" s="269"/>
      <c r="AH388" s="269"/>
      <c r="AI388" s="269"/>
      <c r="AJ388" s="269"/>
      <c r="AK388" s="269"/>
      <c r="AL388" s="269"/>
      <c r="AM388" s="269"/>
      <c r="AN388" s="269"/>
      <c r="AO388" s="269"/>
    </row>
    <row r="389" spans="24:41" ht="8.4499999999999993" hidden="1" customHeight="1">
      <c r="X389" s="269"/>
      <c r="Y389" s="269"/>
      <c r="Z389" s="269"/>
      <c r="AA389" s="269"/>
      <c r="AB389" s="269"/>
      <c r="AC389" s="269"/>
      <c r="AD389" s="269"/>
      <c r="AE389" s="269"/>
      <c r="AF389" s="269"/>
      <c r="AG389" s="269"/>
      <c r="AH389" s="269"/>
      <c r="AI389" s="269"/>
      <c r="AJ389" s="269"/>
      <c r="AK389" s="269"/>
      <c r="AL389" s="269"/>
      <c r="AM389" s="269"/>
      <c r="AN389" s="269"/>
      <c r="AO389" s="269"/>
    </row>
    <row r="390" spans="24:41" ht="8.4499999999999993" hidden="1" customHeight="1">
      <c r="X390" s="269"/>
      <c r="Y390" s="269"/>
      <c r="Z390" s="269"/>
      <c r="AA390" s="269"/>
      <c r="AB390" s="269"/>
      <c r="AC390" s="269"/>
      <c r="AD390" s="269"/>
      <c r="AE390" s="269"/>
      <c r="AF390" s="269"/>
      <c r="AG390" s="269"/>
      <c r="AH390" s="269"/>
      <c r="AI390" s="269"/>
      <c r="AJ390" s="269"/>
      <c r="AK390" s="269"/>
      <c r="AL390" s="269"/>
      <c r="AM390" s="269"/>
      <c r="AN390" s="269"/>
      <c r="AO390" s="269"/>
    </row>
    <row r="391" spans="24:41" ht="8.4499999999999993" hidden="1" customHeight="1">
      <c r="X391" s="269"/>
      <c r="Y391" s="269"/>
      <c r="Z391" s="269"/>
      <c r="AA391" s="269"/>
      <c r="AB391" s="269"/>
      <c r="AC391" s="269"/>
      <c r="AD391" s="269"/>
      <c r="AE391" s="269"/>
      <c r="AF391" s="269"/>
      <c r="AG391" s="269"/>
      <c r="AH391" s="269"/>
      <c r="AI391" s="269"/>
      <c r="AJ391" s="269"/>
      <c r="AK391" s="269"/>
      <c r="AL391" s="269"/>
      <c r="AM391" s="269"/>
      <c r="AN391" s="269"/>
      <c r="AO391" s="269"/>
    </row>
    <row r="392" spans="24:41" ht="8.4499999999999993" hidden="1" customHeight="1">
      <c r="X392" s="269"/>
      <c r="Y392" s="269"/>
      <c r="Z392" s="269"/>
      <c r="AA392" s="269"/>
      <c r="AB392" s="269"/>
      <c r="AC392" s="269"/>
      <c r="AD392" s="269"/>
      <c r="AE392" s="269"/>
      <c r="AF392" s="269"/>
      <c r="AG392" s="269"/>
      <c r="AH392" s="269"/>
      <c r="AI392" s="269"/>
      <c r="AJ392" s="269"/>
      <c r="AK392" s="269"/>
      <c r="AL392" s="269"/>
      <c r="AM392" s="269"/>
      <c r="AN392" s="269"/>
      <c r="AO392" s="269"/>
    </row>
    <row r="393" spans="24:41" ht="8.4499999999999993" hidden="1" customHeight="1">
      <c r="X393" s="269"/>
      <c r="Y393" s="269"/>
      <c r="Z393" s="269"/>
      <c r="AA393" s="269"/>
      <c r="AB393" s="269"/>
      <c r="AC393" s="269"/>
      <c r="AD393" s="269"/>
      <c r="AE393" s="269"/>
      <c r="AF393" s="269"/>
      <c r="AG393" s="269"/>
      <c r="AH393" s="269"/>
      <c r="AI393" s="269"/>
      <c r="AJ393" s="269"/>
      <c r="AK393" s="269"/>
      <c r="AL393" s="269"/>
      <c r="AM393" s="269"/>
      <c r="AN393" s="269"/>
      <c r="AO393" s="269"/>
    </row>
    <row r="394" spans="24:41" ht="8.4499999999999993" hidden="1" customHeight="1">
      <c r="X394" s="269"/>
      <c r="Y394" s="269"/>
      <c r="Z394" s="269"/>
      <c r="AA394" s="269"/>
      <c r="AB394" s="269"/>
      <c r="AC394" s="269"/>
      <c r="AD394" s="269"/>
      <c r="AE394" s="269"/>
      <c r="AF394" s="269"/>
      <c r="AG394" s="269"/>
      <c r="AH394" s="269"/>
      <c r="AI394" s="269"/>
      <c r="AJ394" s="269"/>
      <c r="AK394" s="269"/>
      <c r="AL394" s="269"/>
      <c r="AM394" s="269"/>
      <c r="AN394" s="269"/>
      <c r="AO394" s="269"/>
    </row>
    <row r="395" spans="24:41" ht="8.4499999999999993" hidden="1" customHeight="1">
      <c r="X395" s="269"/>
      <c r="Y395" s="269"/>
      <c r="Z395" s="269"/>
      <c r="AA395" s="269"/>
      <c r="AB395" s="269"/>
      <c r="AC395" s="269"/>
      <c r="AD395" s="269"/>
      <c r="AE395" s="269"/>
      <c r="AF395" s="269"/>
      <c r="AG395" s="269"/>
      <c r="AH395" s="269"/>
      <c r="AI395" s="269"/>
      <c r="AJ395" s="269"/>
      <c r="AK395" s="269"/>
      <c r="AL395" s="269"/>
      <c r="AM395" s="269"/>
      <c r="AN395" s="269"/>
      <c r="AO395" s="269"/>
    </row>
    <row r="396" spans="24:41" ht="8.4499999999999993" hidden="1" customHeight="1">
      <c r="X396" s="269"/>
      <c r="Y396" s="269"/>
      <c r="Z396" s="269"/>
      <c r="AA396" s="269"/>
      <c r="AB396" s="269"/>
      <c r="AC396" s="269"/>
      <c r="AD396" s="269"/>
      <c r="AE396" s="269"/>
      <c r="AF396" s="269"/>
      <c r="AG396" s="269"/>
      <c r="AH396" s="269"/>
      <c r="AI396" s="269"/>
      <c r="AJ396" s="269"/>
      <c r="AK396" s="269"/>
      <c r="AL396" s="269"/>
      <c r="AM396" s="269"/>
      <c r="AN396" s="269"/>
      <c r="AO396" s="269"/>
    </row>
    <row r="397" spans="24:41" ht="8.4499999999999993" hidden="1" customHeight="1">
      <c r="X397" s="269"/>
      <c r="Y397" s="269"/>
      <c r="Z397" s="269"/>
      <c r="AA397" s="269"/>
      <c r="AB397" s="269"/>
      <c r="AC397" s="269"/>
      <c r="AD397" s="269"/>
      <c r="AE397" s="269"/>
      <c r="AF397" s="269"/>
      <c r="AG397" s="269"/>
      <c r="AH397" s="269"/>
      <c r="AI397" s="269"/>
      <c r="AJ397" s="269"/>
      <c r="AK397" s="269"/>
      <c r="AL397" s="269"/>
      <c r="AM397" s="269"/>
      <c r="AN397" s="269"/>
      <c r="AO397" s="269"/>
    </row>
    <row r="398" spans="24:41" ht="8.4499999999999993" hidden="1" customHeight="1">
      <c r="X398" s="269"/>
      <c r="Y398" s="269"/>
      <c r="Z398" s="269"/>
      <c r="AA398" s="269"/>
      <c r="AB398" s="269"/>
      <c r="AC398" s="269"/>
      <c r="AD398" s="269"/>
      <c r="AE398" s="269"/>
      <c r="AF398" s="269"/>
      <c r="AG398" s="269"/>
      <c r="AH398" s="269"/>
      <c r="AI398" s="269"/>
      <c r="AJ398" s="269"/>
      <c r="AK398" s="269"/>
      <c r="AL398" s="269"/>
      <c r="AM398" s="269"/>
      <c r="AN398" s="269"/>
      <c r="AO398" s="269"/>
    </row>
    <row r="399" spans="24:41" ht="8.4499999999999993" hidden="1" customHeight="1">
      <c r="X399" s="269"/>
      <c r="Y399" s="269"/>
      <c r="Z399" s="269"/>
      <c r="AA399" s="269"/>
      <c r="AB399" s="269"/>
      <c r="AC399" s="269"/>
      <c r="AD399" s="269"/>
      <c r="AE399" s="269"/>
      <c r="AF399" s="269"/>
      <c r="AG399" s="269"/>
      <c r="AH399" s="269"/>
      <c r="AI399" s="269"/>
      <c r="AJ399" s="269"/>
      <c r="AK399" s="269"/>
      <c r="AL399" s="269"/>
      <c r="AM399" s="269"/>
      <c r="AN399" s="269"/>
      <c r="AO399" s="269"/>
    </row>
    <row r="400" spans="24:41" ht="8.4499999999999993" hidden="1" customHeight="1">
      <c r="X400" s="269"/>
      <c r="Y400" s="269"/>
      <c r="Z400" s="269"/>
      <c r="AA400" s="269"/>
      <c r="AB400" s="269"/>
      <c r="AC400" s="269"/>
      <c r="AD400" s="269"/>
      <c r="AE400" s="269"/>
      <c r="AF400" s="269"/>
      <c r="AG400" s="269"/>
      <c r="AH400" s="269"/>
      <c r="AI400" s="269"/>
      <c r="AJ400" s="269"/>
      <c r="AK400" s="269"/>
      <c r="AL400" s="269"/>
      <c r="AM400" s="269"/>
      <c r="AN400" s="269"/>
      <c r="AO400" s="269"/>
    </row>
    <row r="401" spans="24:41" ht="8.4499999999999993" hidden="1" customHeight="1">
      <c r="X401" s="269"/>
      <c r="Y401" s="269"/>
      <c r="Z401" s="269"/>
      <c r="AA401" s="269"/>
      <c r="AB401" s="269"/>
      <c r="AC401" s="269"/>
      <c r="AD401" s="269"/>
      <c r="AE401" s="269"/>
      <c r="AF401" s="269"/>
      <c r="AG401" s="269"/>
      <c r="AH401" s="269"/>
      <c r="AI401" s="269"/>
      <c r="AJ401" s="269"/>
      <c r="AK401" s="269"/>
      <c r="AL401" s="269"/>
      <c r="AM401" s="269"/>
      <c r="AN401" s="269"/>
      <c r="AO401" s="269"/>
    </row>
    <row r="402" spans="24:41" ht="8.4499999999999993" hidden="1" customHeight="1">
      <c r="X402" s="269"/>
      <c r="Y402" s="269"/>
      <c r="Z402" s="269"/>
      <c r="AA402" s="269"/>
      <c r="AB402" s="269"/>
      <c r="AC402" s="269"/>
      <c r="AD402" s="269"/>
      <c r="AE402" s="269"/>
      <c r="AF402" s="269"/>
      <c r="AG402" s="269"/>
      <c r="AH402" s="269"/>
      <c r="AI402" s="269"/>
      <c r="AJ402" s="269"/>
      <c r="AK402" s="269"/>
      <c r="AL402" s="269"/>
      <c r="AM402" s="269"/>
      <c r="AN402" s="269"/>
      <c r="AO402" s="269"/>
    </row>
    <row r="403" spans="24:41" ht="8.4499999999999993" hidden="1" customHeight="1">
      <c r="X403" s="269"/>
      <c r="Y403" s="269"/>
      <c r="Z403" s="269"/>
      <c r="AA403" s="269"/>
      <c r="AB403" s="269"/>
      <c r="AC403" s="269"/>
      <c r="AD403" s="269"/>
      <c r="AE403" s="269"/>
      <c r="AF403" s="269"/>
      <c r="AG403" s="269"/>
      <c r="AH403" s="269"/>
      <c r="AI403" s="269"/>
      <c r="AJ403" s="269"/>
      <c r="AK403" s="269"/>
      <c r="AL403" s="269"/>
      <c r="AM403" s="269"/>
      <c r="AN403" s="269"/>
      <c r="AO403" s="269"/>
    </row>
    <row r="404" spans="24:41" ht="8.4499999999999993" hidden="1" customHeight="1">
      <c r="X404" s="269"/>
      <c r="Y404" s="269"/>
      <c r="Z404" s="269"/>
      <c r="AA404" s="269"/>
      <c r="AB404" s="269"/>
      <c r="AC404" s="269"/>
      <c r="AD404" s="269"/>
      <c r="AE404" s="269"/>
      <c r="AF404" s="269"/>
      <c r="AG404" s="269"/>
      <c r="AH404" s="269"/>
      <c r="AI404" s="269"/>
      <c r="AJ404" s="269"/>
      <c r="AK404" s="269"/>
      <c r="AL404" s="269"/>
      <c r="AM404" s="269"/>
      <c r="AN404" s="269"/>
      <c r="AO404" s="269"/>
    </row>
    <row r="405" spans="24:41" ht="8.4499999999999993" hidden="1" customHeight="1">
      <c r="X405" s="269"/>
      <c r="Y405" s="269"/>
      <c r="Z405" s="269"/>
      <c r="AA405" s="269"/>
      <c r="AB405" s="269"/>
      <c r="AC405" s="269"/>
      <c r="AD405" s="269"/>
      <c r="AE405" s="269"/>
      <c r="AF405" s="269"/>
      <c r="AG405" s="269"/>
      <c r="AH405" s="269"/>
      <c r="AI405" s="269"/>
      <c r="AJ405" s="269"/>
      <c r="AK405" s="269"/>
      <c r="AL405" s="269"/>
      <c r="AM405" s="269"/>
      <c r="AN405" s="269"/>
      <c r="AO405" s="269"/>
    </row>
    <row r="406" spans="24:41" ht="8.4499999999999993" hidden="1" customHeight="1">
      <c r="X406" s="269"/>
      <c r="Y406" s="269"/>
      <c r="Z406" s="269"/>
      <c r="AA406" s="269"/>
      <c r="AB406" s="269"/>
      <c r="AC406" s="269"/>
      <c r="AD406" s="269"/>
      <c r="AE406" s="269"/>
      <c r="AF406" s="269"/>
      <c r="AG406" s="269"/>
      <c r="AH406" s="269"/>
      <c r="AI406" s="269"/>
      <c r="AJ406" s="269"/>
      <c r="AK406" s="269"/>
      <c r="AL406" s="269"/>
      <c r="AM406" s="269"/>
      <c r="AN406" s="269"/>
      <c r="AO406" s="269"/>
    </row>
    <row r="407" spans="24:41" ht="8.4499999999999993" hidden="1" customHeight="1">
      <c r="X407" s="269"/>
      <c r="Y407" s="269"/>
      <c r="Z407" s="269"/>
      <c r="AA407" s="269"/>
      <c r="AB407" s="269"/>
      <c r="AC407" s="269"/>
      <c r="AD407" s="269"/>
      <c r="AE407" s="269"/>
      <c r="AF407" s="269"/>
      <c r="AG407" s="269"/>
      <c r="AH407" s="269"/>
      <c r="AI407" s="269"/>
      <c r="AJ407" s="269"/>
      <c r="AK407" s="269"/>
      <c r="AL407" s="269"/>
      <c r="AM407" s="269"/>
      <c r="AN407" s="269"/>
      <c r="AO407" s="269"/>
    </row>
    <row r="408" spans="24:41" ht="8.4499999999999993" hidden="1" customHeight="1">
      <c r="X408" s="269"/>
      <c r="Y408" s="269"/>
      <c r="Z408" s="269"/>
      <c r="AA408" s="269"/>
      <c r="AB408" s="269"/>
      <c r="AC408" s="269"/>
      <c r="AD408" s="269"/>
      <c r="AE408" s="269"/>
      <c r="AF408" s="269"/>
      <c r="AG408" s="269"/>
      <c r="AH408" s="269"/>
      <c r="AI408" s="269"/>
      <c r="AJ408" s="269"/>
      <c r="AK408" s="269"/>
      <c r="AL408" s="269"/>
      <c r="AM408" s="269"/>
      <c r="AN408" s="269"/>
      <c r="AO408" s="269"/>
    </row>
    <row r="409" spans="24:41" ht="8.4499999999999993" hidden="1" customHeight="1">
      <c r="X409" s="269"/>
      <c r="Y409" s="269"/>
      <c r="Z409" s="269"/>
      <c r="AA409" s="269"/>
      <c r="AB409" s="269"/>
      <c r="AC409" s="269"/>
      <c r="AD409" s="269"/>
      <c r="AE409" s="269"/>
      <c r="AF409" s="269"/>
      <c r="AG409" s="269"/>
      <c r="AH409" s="269"/>
      <c r="AI409" s="269"/>
      <c r="AJ409" s="269"/>
      <c r="AK409" s="269"/>
      <c r="AL409" s="269"/>
      <c r="AM409" s="269"/>
      <c r="AN409" s="269"/>
      <c r="AO409" s="269"/>
    </row>
    <row r="410" spans="24:41" ht="8.4499999999999993" hidden="1" customHeight="1">
      <c r="X410" s="269"/>
      <c r="Y410" s="269"/>
      <c r="Z410" s="269"/>
      <c r="AA410" s="269"/>
      <c r="AB410" s="269"/>
      <c r="AC410" s="269"/>
      <c r="AD410" s="269"/>
      <c r="AE410" s="269"/>
      <c r="AF410" s="269"/>
      <c r="AG410" s="269"/>
      <c r="AH410" s="269"/>
      <c r="AI410" s="269"/>
      <c r="AJ410" s="269"/>
      <c r="AK410" s="269"/>
      <c r="AL410" s="269"/>
      <c r="AM410" s="269"/>
      <c r="AN410" s="269"/>
      <c r="AO410" s="269"/>
    </row>
    <row r="411" spans="24:41" ht="8.4499999999999993" hidden="1" customHeight="1">
      <c r="X411" s="269"/>
      <c r="Y411" s="269"/>
      <c r="Z411" s="269"/>
      <c r="AA411" s="269"/>
      <c r="AB411" s="269"/>
      <c r="AC411" s="269"/>
      <c r="AD411" s="269"/>
      <c r="AE411" s="269"/>
      <c r="AF411" s="269"/>
      <c r="AG411" s="269"/>
      <c r="AH411" s="269"/>
      <c r="AI411" s="269"/>
      <c r="AJ411" s="269"/>
      <c r="AK411" s="269"/>
      <c r="AL411" s="269"/>
      <c r="AM411" s="269"/>
      <c r="AN411" s="269"/>
      <c r="AO411" s="269"/>
    </row>
    <row r="412" spans="24:41" ht="8.4499999999999993" hidden="1" customHeight="1">
      <c r="X412" s="269"/>
      <c r="Y412" s="269"/>
      <c r="Z412" s="269"/>
      <c r="AA412" s="269"/>
      <c r="AB412" s="269"/>
      <c r="AC412" s="269"/>
      <c r="AD412" s="269"/>
      <c r="AE412" s="269"/>
      <c r="AF412" s="269"/>
      <c r="AG412" s="269"/>
      <c r="AH412" s="269"/>
      <c r="AI412" s="269"/>
      <c r="AJ412" s="269"/>
      <c r="AK412" s="269"/>
      <c r="AL412" s="269"/>
      <c r="AM412" s="269"/>
      <c r="AN412" s="269"/>
      <c r="AO412" s="269"/>
    </row>
    <row r="413" spans="24:41" ht="8.4499999999999993" hidden="1" customHeight="1">
      <c r="X413" s="269"/>
      <c r="Y413" s="269"/>
      <c r="Z413" s="269"/>
      <c r="AA413" s="269"/>
      <c r="AB413" s="269"/>
      <c r="AC413" s="269"/>
      <c r="AD413" s="269"/>
      <c r="AE413" s="269"/>
      <c r="AF413" s="269"/>
      <c r="AG413" s="269"/>
      <c r="AH413" s="269"/>
      <c r="AI413" s="269"/>
      <c r="AJ413" s="269"/>
      <c r="AK413" s="269"/>
      <c r="AL413" s="269"/>
      <c r="AM413" s="269"/>
      <c r="AN413" s="269"/>
      <c r="AO413" s="269"/>
    </row>
    <row r="414" spans="24:41" ht="8.4499999999999993" hidden="1" customHeight="1">
      <c r="X414" s="269"/>
      <c r="Y414" s="269"/>
      <c r="Z414" s="269"/>
      <c r="AA414" s="269"/>
      <c r="AB414" s="269"/>
      <c r="AC414" s="269"/>
      <c r="AD414" s="269"/>
      <c r="AE414" s="269"/>
      <c r="AF414" s="269"/>
      <c r="AG414" s="269"/>
      <c r="AH414" s="269"/>
      <c r="AI414" s="269"/>
      <c r="AJ414" s="269"/>
      <c r="AK414" s="269"/>
      <c r="AL414" s="269"/>
      <c r="AM414" s="269"/>
      <c r="AN414" s="269"/>
      <c r="AO414" s="269"/>
    </row>
    <row r="415" spans="24:41" ht="8.4499999999999993" hidden="1" customHeight="1">
      <c r="X415" s="269"/>
      <c r="Y415" s="269"/>
      <c r="Z415" s="269"/>
      <c r="AA415" s="269"/>
      <c r="AB415" s="269"/>
      <c r="AC415" s="269"/>
      <c r="AD415" s="269"/>
      <c r="AE415" s="269"/>
      <c r="AF415" s="269"/>
      <c r="AG415" s="269"/>
      <c r="AH415" s="269"/>
      <c r="AI415" s="269"/>
      <c r="AJ415" s="269"/>
      <c r="AK415" s="269"/>
      <c r="AL415" s="269"/>
      <c r="AM415" s="269"/>
      <c r="AN415" s="269"/>
      <c r="AO415" s="269"/>
    </row>
    <row r="416" spans="24:41" ht="8.4499999999999993" hidden="1" customHeight="1">
      <c r="X416" s="269"/>
      <c r="Y416" s="269"/>
      <c r="Z416" s="269"/>
      <c r="AA416" s="269"/>
      <c r="AB416" s="269"/>
      <c r="AC416" s="269"/>
      <c r="AD416" s="269"/>
      <c r="AE416" s="269"/>
      <c r="AF416" s="269"/>
      <c r="AG416" s="269"/>
      <c r="AH416" s="269"/>
      <c r="AI416" s="269"/>
      <c r="AJ416" s="269"/>
      <c r="AK416" s="269"/>
      <c r="AL416" s="269"/>
      <c r="AM416" s="269"/>
      <c r="AN416" s="269"/>
      <c r="AO416" s="269"/>
    </row>
    <row r="417" spans="24:41" ht="8.4499999999999993" hidden="1" customHeight="1">
      <c r="X417" s="269"/>
      <c r="Y417" s="269"/>
      <c r="Z417" s="269"/>
      <c r="AA417" s="269"/>
      <c r="AB417" s="269"/>
      <c r="AC417" s="269"/>
      <c r="AD417" s="269"/>
      <c r="AE417" s="269"/>
      <c r="AF417" s="269"/>
      <c r="AG417" s="269"/>
      <c r="AH417" s="269"/>
      <c r="AI417" s="269"/>
      <c r="AJ417" s="269"/>
      <c r="AK417" s="269"/>
      <c r="AL417" s="269"/>
      <c r="AM417" s="269"/>
      <c r="AN417" s="269"/>
      <c r="AO417" s="269"/>
    </row>
    <row r="418" spans="24:41" ht="8.4499999999999993" hidden="1" customHeight="1">
      <c r="X418" s="269"/>
      <c r="Y418" s="269"/>
      <c r="Z418" s="269"/>
      <c r="AA418" s="269"/>
      <c r="AB418" s="269"/>
      <c r="AC418" s="269"/>
      <c r="AD418" s="269"/>
      <c r="AE418" s="269"/>
      <c r="AF418" s="269"/>
      <c r="AG418" s="269"/>
      <c r="AH418" s="269"/>
      <c r="AI418" s="269"/>
      <c r="AJ418" s="269"/>
      <c r="AK418" s="269"/>
      <c r="AL418" s="269"/>
      <c r="AM418" s="269"/>
      <c r="AN418" s="269"/>
      <c r="AO418" s="269"/>
    </row>
    <row r="419" spans="24:41" ht="8.4499999999999993" hidden="1" customHeight="1">
      <c r="X419" s="269"/>
      <c r="Y419" s="269"/>
      <c r="Z419" s="269"/>
      <c r="AA419" s="269"/>
      <c r="AB419" s="269"/>
      <c r="AC419" s="269"/>
      <c r="AD419" s="269"/>
      <c r="AE419" s="269"/>
      <c r="AF419" s="269"/>
      <c r="AG419" s="269"/>
      <c r="AH419" s="269"/>
      <c r="AI419" s="269"/>
      <c r="AJ419" s="269"/>
      <c r="AK419" s="269"/>
      <c r="AL419" s="269"/>
      <c r="AM419" s="269"/>
      <c r="AN419" s="269"/>
      <c r="AO419" s="269"/>
    </row>
    <row r="420" spans="24:41" ht="8.4499999999999993" hidden="1" customHeight="1">
      <c r="X420" s="269"/>
      <c r="Y420" s="269"/>
      <c r="Z420" s="269"/>
      <c r="AA420" s="269"/>
      <c r="AB420" s="269"/>
      <c r="AC420" s="269"/>
      <c r="AD420" s="269"/>
      <c r="AE420" s="269"/>
      <c r="AF420" s="269"/>
      <c r="AG420" s="269"/>
      <c r="AH420" s="269"/>
      <c r="AI420" s="269"/>
      <c r="AJ420" s="269"/>
      <c r="AK420" s="269"/>
      <c r="AL420" s="269"/>
      <c r="AM420" s="269"/>
      <c r="AN420" s="269"/>
      <c r="AO420" s="269"/>
    </row>
    <row r="421" spans="24:41" ht="8.4499999999999993" hidden="1" customHeight="1">
      <c r="X421" s="269"/>
      <c r="Y421" s="269"/>
      <c r="Z421" s="269"/>
      <c r="AA421" s="269"/>
      <c r="AB421" s="269"/>
      <c r="AC421" s="269"/>
      <c r="AD421" s="269"/>
      <c r="AE421" s="269"/>
      <c r="AF421" s="269"/>
      <c r="AG421" s="269"/>
      <c r="AH421" s="269"/>
      <c r="AI421" s="269"/>
      <c r="AJ421" s="269"/>
      <c r="AK421" s="269"/>
      <c r="AL421" s="269"/>
      <c r="AM421" s="269"/>
      <c r="AN421" s="269"/>
      <c r="AO421" s="269"/>
    </row>
    <row r="422" spans="24:41" ht="8.4499999999999993" hidden="1" customHeight="1">
      <c r="X422" s="269"/>
      <c r="Y422" s="269"/>
      <c r="Z422" s="269"/>
      <c r="AA422" s="269"/>
      <c r="AB422" s="269"/>
      <c r="AC422" s="269"/>
      <c r="AD422" s="269"/>
      <c r="AE422" s="269"/>
      <c r="AF422" s="269"/>
      <c r="AG422" s="269"/>
      <c r="AH422" s="269"/>
      <c r="AI422" s="269"/>
      <c r="AJ422" s="269"/>
      <c r="AK422" s="269"/>
      <c r="AL422" s="269"/>
      <c r="AM422" s="269"/>
      <c r="AN422" s="269"/>
      <c r="AO422" s="269"/>
    </row>
    <row r="423" spans="24:41" ht="8.4499999999999993" hidden="1" customHeight="1">
      <c r="X423" s="269"/>
      <c r="Y423" s="269"/>
      <c r="Z423" s="269"/>
      <c r="AA423" s="269"/>
      <c r="AB423" s="269"/>
      <c r="AC423" s="269"/>
      <c r="AD423" s="269"/>
      <c r="AE423" s="269"/>
      <c r="AF423" s="269"/>
      <c r="AG423" s="269"/>
      <c r="AH423" s="269"/>
      <c r="AI423" s="269"/>
      <c r="AJ423" s="269"/>
      <c r="AK423" s="269"/>
      <c r="AL423" s="269"/>
      <c r="AM423" s="269"/>
      <c r="AN423" s="269"/>
      <c r="AO423" s="269"/>
    </row>
    <row r="424" spans="24:41" ht="8.4499999999999993" hidden="1" customHeight="1">
      <c r="X424" s="269"/>
      <c r="Y424" s="269"/>
      <c r="Z424" s="269"/>
      <c r="AA424" s="269"/>
      <c r="AB424" s="269"/>
      <c r="AC424" s="269"/>
      <c r="AD424" s="269"/>
      <c r="AE424" s="269"/>
      <c r="AF424" s="269"/>
      <c r="AG424" s="269"/>
      <c r="AH424" s="269"/>
      <c r="AI424" s="269"/>
      <c r="AJ424" s="269"/>
      <c r="AK424" s="269"/>
      <c r="AL424" s="269"/>
      <c r="AM424" s="269"/>
      <c r="AN424" s="269"/>
      <c r="AO424" s="269"/>
    </row>
    <row r="425" spans="24:41" ht="8.4499999999999993" hidden="1" customHeight="1">
      <c r="X425" s="269"/>
      <c r="Y425" s="269"/>
      <c r="Z425" s="269"/>
      <c r="AA425" s="269"/>
      <c r="AB425" s="269"/>
      <c r="AC425" s="269"/>
      <c r="AD425" s="269"/>
      <c r="AE425" s="269"/>
      <c r="AF425" s="269"/>
      <c r="AG425" s="269"/>
      <c r="AH425" s="269"/>
      <c r="AI425" s="269"/>
      <c r="AJ425" s="269"/>
      <c r="AK425" s="269"/>
      <c r="AL425" s="269"/>
      <c r="AM425" s="269"/>
      <c r="AN425" s="269"/>
      <c r="AO425" s="269"/>
    </row>
    <row r="426" spans="24:41" ht="8.4499999999999993" hidden="1" customHeight="1">
      <c r="X426" s="269"/>
      <c r="Y426" s="269"/>
      <c r="Z426" s="269"/>
      <c r="AA426" s="269"/>
      <c r="AB426" s="269"/>
      <c r="AC426" s="269"/>
      <c r="AD426" s="269"/>
      <c r="AE426" s="269"/>
      <c r="AF426" s="269"/>
      <c r="AG426" s="269"/>
      <c r="AH426" s="269"/>
      <c r="AI426" s="269"/>
      <c r="AJ426" s="269"/>
      <c r="AK426" s="269"/>
      <c r="AL426" s="269"/>
      <c r="AM426" s="269"/>
      <c r="AN426" s="269"/>
      <c r="AO426" s="269"/>
    </row>
    <row r="427" spans="24:41" ht="8.4499999999999993" hidden="1" customHeight="1">
      <c r="X427" s="269"/>
      <c r="Y427" s="269"/>
      <c r="Z427" s="269"/>
      <c r="AA427" s="269"/>
      <c r="AB427" s="269"/>
      <c r="AC427" s="269"/>
      <c r="AD427" s="269"/>
      <c r="AE427" s="269"/>
      <c r="AF427" s="269"/>
      <c r="AG427" s="269"/>
      <c r="AH427" s="269"/>
      <c r="AI427" s="269"/>
      <c r="AJ427" s="269"/>
      <c r="AK427" s="269"/>
      <c r="AL427" s="269"/>
      <c r="AM427" s="269"/>
      <c r="AN427" s="269"/>
      <c r="AO427" s="269"/>
    </row>
    <row r="428" spans="24:41" ht="8.4499999999999993" hidden="1" customHeight="1">
      <c r="X428" s="269"/>
      <c r="Y428" s="269"/>
      <c r="Z428" s="269"/>
      <c r="AA428" s="269"/>
      <c r="AB428" s="269"/>
      <c r="AC428" s="269"/>
      <c r="AD428" s="269"/>
      <c r="AE428" s="269"/>
      <c r="AF428" s="269"/>
      <c r="AG428" s="269"/>
      <c r="AH428" s="269"/>
      <c r="AI428" s="269"/>
      <c r="AJ428" s="269"/>
      <c r="AK428" s="269"/>
      <c r="AL428" s="269"/>
      <c r="AM428" s="269"/>
      <c r="AN428" s="269"/>
      <c r="AO428" s="269"/>
    </row>
    <row r="429" spans="24:41" ht="8.4499999999999993" hidden="1" customHeight="1">
      <c r="X429" s="269"/>
      <c r="Y429" s="269"/>
      <c r="Z429" s="269"/>
      <c r="AA429" s="269"/>
      <c r="AB429" s="269"/>
      <c r="AC429" s="269"/>
      <c r="AD429" s="269"/>
      <c r="AE429" s="269"/>
      <c r="AF429" s="269"/>
      <c r="AG429" s="269"/>
      <c r="AH429" s="269"/>
      <c r="AI429" s="269"/>
      <c r="AJ429" s="269"/>
      <c r="AK429" s="269"/>
      <c r="AL429" s="269"/>
      <c r="AM429" s="269"/>
      <c r="AN429" s="269"/>
      <c r="AO429" s="269"/>
    </row>
    <row r="430" spans="24:41" ht="8.4499999999999993" hidden="1" customHeight="1">
      <c r="X430" s="269"/>
      <c r="Y430" s="269"/>
      <c r="Z430" s="269"/>
      <c r="AA430" s="269"/>
      <c r="AB430" s="269"/>
      <c r="AC430" s="269"/>
      <c r="AD430" s="269"/>
      <c r="AE430" s="269"/>
      <c r="AF430" s="269"/>
      <c r="AG430" s="269"/>
      <c r="AH430" s="269"/>
      <c r="AI430" s="269"/>
      <c r="AJ430" s="269"/>
      <c r="AK430" s="269"/>
      <c r="AL430" s="269"/>
      <c r="AM430" s="269"/>
      <c r="AN430" s="269"/>
      <c r="AO430" s="269"/>
    </row>
    <row r="431" spans="24:41" ht="8.4499999999999993" hidden="1" customHeight="1">
      <c r="X431" s="269"/>
      <c r="Y431" s="269"/>
      <c r="Z431" s="269"/>
      <c r="AA431" s="269"/>
      <c r="AB431" s="269"/>
      <c r="AC431" s="269"/>
      <c r="AD431" s="269"/>
      <c r="AE431" s="269"/>
      <c r="AF431" s="269"/>
      <c r="AG431" s="269"/>
      <c r="AH431" s="269"/>
      <c r="AI431" s="269"/>
      <c r="AJ431" s="269"/>
      <c r="AK431" s="269"/>
      <c r="AL431" s="269"/>
      <c r="AM431" s="269"/>
      <c r="AN431" s="269"/>
      <c r="AO431" s="269"/>
    </row>
    <row r="432" spans="24:41" ht="8.4499999999999993" hidden="1" customHeight="1">
      <c r="X432" s="269"/>
      <c r="Y432" s="269"/>
      <c r="Z432" s="269"/>
      <c r="AA432" s="269"/>
      <c r="AB432" s="269"/>
      <c r="AC432" s="269"/>
      <c r="AD432" s="269"/>
      <c r="AE432" s="269"/>
      <c r="AF432" s="269"/>
      <c r="AG432" s="269"/>
      <c r="AH432" s="269"/>
      <c r="AI432" s="269"/>
      <c r="AJ432" s="269"/>
      <c r="AK432" s="269"/>
      <c r="AL432" s="269"/>
      <c r="AM432" s="269"/>
      <c r="AN432" s="269"/>
      <c r="AO432" s="269"/>
    </row>
    <row r="433" spans="24:41" ht="8.4499999999999993" hidden="1" customHeight="1">
      <c r="X433" s="269"/>
      <c r="Y433" s="269"/>
      <c r="Z433" s="269"/>
      <c r="AA433" s="269"/>
      <c r="AB433" s="269"/>
      <c r="AC433" s="269"/>
      <c r="AD433" s="269"/>
      <c r="AE433" s="269"/>
      <c r="AF433" s="269"/>
      <c r="AG433" s="269"/>
      <c r="AH433" s="269"/>
      <c r="AI433" s="269"/>
      <c r="AJ433" s="269"/>
      <c r="AK433" s="269"/>
      <c r="AL433" s="269"/>
      <c r="AM433" s="269"/>
      <c r="AN433" s="269"/>
      <c r="AO433" s="269"/>
    </row>
    <row r="434" spans="24:41" ht="8.4499999999999993" hidden="1" customHeight="1">
      <c r="X434" s="269"/>
      <c r="Y434" s="269"/>
      <c r="Z434" s="269"/>
      <c r="AA434" s="269"/>
      <c r="AB434" s="269"/>
      <c r="AC434" s="269"/>
      <c r="AD434" s="269"/>
      <c r="AE434" s="269"/>
      <c r="AF434" s="269"/>
      <c r="AG434" s="269"/>
      <c r="AH434" s="269"/>
      <c r="AI434" s="269"/>
      <c r="AJ434" s="269"/>
      <c r="AK434" s="269"/>
      <c r="AL434" s="269"/>
      <c r="AM434" s="269"/>
      <c r="AN434" s="269"/>
      <c r="AO434" s="269"/>
    </row>
    <row r="435" spans="24:41" ht="8.4499999999999993" hidden="1" customHeight="1">
      <c r="X435" s="269"/>
      <c r="Y435" s="269"/>
      <c r="Z435" s="269"/>
      <c r="AA435" s="269"/>
      <c r="AB435" s="269"/>
      <c r="AC435" s="269"/>
      <c r="AD435" s="269"/>
      <c r="AE435" s="269"/>
      <c r="AF435" s="269"/>
      <c r="AG435" s="269"/>
      <c r="AH435" s="269"/>
      <c r="AI435" s="269"/>
      <c r="AJ435" s="269"/>
      <c r="AK435" s="269"/>
      <c r="AL435" s="269"/>
      <c r="AM435" s="269"/>
      <c r="AN435" s="269"/>
      <c r="AO435" s="269"/>
    </row>
    <row r="436" spans="24:41" ht="8.4499999999999993" hidden="1" customHeight="1">
      <c r="X436" s="269"/>
      <c r="Y436" s="269"/>
      <c r="Z436" s="269"/>
      <c r="AA436" s="269"/>
      <c r="AB436" s="269"/>
      <c r="AC436" s="269"/>
      <c r="AD436" s="269"/>
      <c r="AE436" s="269"/>
      <c r="AF436" s="269"/>
      <c r="AG436" s="269"/>
      <c r="AH436" s="269"/>
      <c r="AI436" s="269"/>
      <c r="AJ436" s="269"/>
      <c r="AK436" s="269"/>
      <c r="AL436" s="269"/>
      <c r="AM436" s="269"/>
      <c r="AN436" s="269"/>
      <c r="AO436" s="269"/>
    </row>
    <row r="437" spans="24:41" ht="8.4499999999999993" hidden="1" customHeight="1">
      <c r="X437" s="269"/>
      <c r="Y437" s="269"/>
      <c r="Z437" s="269"/>
      <c r="AA437" s="269"/>
      <c r="AB437" s="269"/>
      <c r="AC437" s="269"/>
      <c r="AD437" s="269"/>
      <c r="AE437" s="269"/>
      <c r="AF437" s="269"/>
      <c r="AG437" s="269"/>
      <c r="AH437" s="269"/>
      <c r="AI437" s="269"/>
      <c r="AJ437" s="269"/>
      <c r="AK437" s="269"/>
      <c r="AL437" s="269"/>
      <c r="AM437" s="269"/>
      <c r="AN437" s="269"/>
      <c r="AO437" s="269"/>
    </row>
    <row r="438" spans="24:41" ht="8.4499999999999993" hidden="1" customHeight="1">
      <c r="X438" s="269"/>
      <c r="Y438" s="269"/>
      <c r="Z438" s="269"/>
      <c r="AA438" s="269"/>
      <c r="AB438" s="269"/>
      <c r="AC438" s="269"/>
      <c r="AD438" s="269"/>
      <c r="AE438" s="269"/>
      <c r="AF438" s="269"/>
      <c r="AG438" s="269"/>
      <c r="AH438" s="269"/>
      <c r="AI438" s="269"/>
      <c r="AJ438" s="269"/>
      <c r="AK438" s="269"/>
      <c r="AL438" s="269"/>
      <c r="AM438" s="269"/>
      <c r="AN438" s="269"/>
      <c r="AO438" s="269"/>
    </row>
    <row r="439" spans="24:41" ht="8.4499999999999993" hidden="1" customHeight="1">
      <c r="X439" s="269"/>
      <c r="Y439" s="269"/>
      <c r="Z439" s="269"/>
      <c r="AA439" s="269"/>
      <c r="AB439" s="269"/>
      <c r="AC439" s="269"/>
      <c r="AD439" s="269"/>
      <c r="AE439" s="269"/>
      <c r="AF439" s="269"/>
      <c r="AG439" s="269"/>
      <c r="AH439" s="269"/>
      <c r="AI439" s="269"/>
      <c r="AJ439" s="269"/>
      <c r="AK439" s="269"/>
      <c r="AL439" s="269"/>
      <c r="AM439" s="269"/>
      <c r="AN439" s="269"/>
      <c r="AO439" s="269"/>
    </row>
    <row r="440" spans="24:41" ht="8.4499999999999993" hidden="1" customHeight="1">
      <c r="X440" s="269"/>
      <c r="Y440" s="269"/>
      <c r="Z440" s="269"/>
      <c r="AA440" s="269"/>
      <c r="AB440" s="269"/>
      <c r="AC440" s="269"/>
      <c r="AD440" s="269"/>
      <c r="AE440" s="269"/>
      <c r="AF440" s="269"/>
      <c r="AG440" s="269"/>
      <c r="AH440" s="269"/>
      <c r="AI440" s="269"/>
      <c r="AJ440" s="269"/>
      <c r="AK440" s="269"/>
      <c r="AL440" s="269"/>
      <c r="AM440" s="269"/>
      <c r="AN440" s="269"/>
      <c r="AO440" s="269"/>
    </row>
    <row r="441" spans="24:41" ht="8.4499999999999993" hidden="1" customHeight="1">
      <c r="X441" s="269"/>
      <c r="Y441" s="269"/>
      <c r="Z441" s="269"/>
      <c r="AA441" s="269"/>
      <c r="AB441" s="269"/>
      <c r="AC441" s="269"/>
      <c r="AD441" s="269"/>
      <c r="AE441" s="269"/>
      <c r="AF441" s="269"/>
      <c r="AG441" s="269"/>
      <c r="AH441" s="269"/>
      <c r="AI441" s="269"/>
      <c r="AJ441" s="269"/>
      <c r="AK441" s="269"/>
      <c r="AL441" s="269"/>
      <c r="AM441" s="269"/>
      <c r="AN441" s="269"/>
      <c r="AO441" s="269"/>
    </row>
    <row r="442" spans="24:41" ht="8.4499999999999993" hidden="1" customHeight="1">
      <c r="X442" s="269"/>
      <c r="Y442" s="269"/>
      <c r="Z442" s="269"/>
      <c r="AA442" s="269"/>
      <c r="AB442" s="269"/>
      <c r="AC442" s="269"/>
      <c r="AD442" s="269"/>
      <c r="AE442" s="269"/>
      <c r="AF442" s="269"/>
      <c r="AG442" s="269"/>
      <c r="AH442" s="269"/>
      <c r="AI442" s="269"/>
      <c r="AJ442" s="269"/>
      <c r="AK442" s="269"/>
      <c r="AL442" s="269"/>
      <c r="AM442" s="269"/>
      <c r="AN442" s="269"/>
      <c r="AO442" s="269"/>
    </row>
    <row r="443" spans="24:41" ht="8.4499999999999993" hidden="1" customHeight="1">
      <c r="X443" s="269"/>
      <c r="Y443" s="269"/>
      <c r="Z443" s="269"/>
      <c r="AA443" s="269"/>
      <c r="AB443" s="269"/>
      <c r="AC443" s="269"/>
      <c r="AD443" s="269"/>
      <c r="AE443" s="269"/>
      <c r="AF443" s="269"/>
      <c r="AG443" s="269"/>
      <c r="AH443" s="269"/>
      <c r="AI443" s="269"/>
      <c r="AJ443" s="269"/>
      <c r="AK443" s="269"/>
      <c r="AL443" s="269"/>
      <c r="AM443" s="269"/>
      <c r="AN443" s="269"/>
      <c r="AO443" s="269"/>
    </row>
    <row r="444" spans="24:41" ht="8.4499999999999993" hidden="1" customHeight="1">
      <c r="X444" s="269"/>
      <c r="Y444" s="269"/>
      <c r="Z444" s="269"/>
      <c r="AA444" s="269"/>
      <c r="AB444" s="269"/>
      <c r="AC444" s="269"/>
      <c r="AD444" s="269"/>
      <c r="AE444" s="269"/>
      <c r="AF444" s="269"/>
      <c r="AG444" s="269"/>
      <c r="AH444" s="269"/>
      <c r="AI444" s="269"/>
      <c r="AJ444" s="269"/>
      <c r="AK444" s="269"/>
      <c r="AL444" s="269"/>
      <c r="AM444" s="269"/>
      <c r="AN444" s="269"/>
      <c r="AO444" s="269"/>
    </row>
    <row r="445" spans="24:41" ht="8.4499999999999993" hidden="1" customHeight="1">
      <c r="X445" s="269"/>
      <c r="Y445" s="269"/>
      <c r="Z445" s="269"/>
      <c r="AA445" s="269"/>
      <c r="AB445" s="269"/>
      <c r="AC445" s="269"/>
      <c r="AD445" s="269"/>
      <c r="AE445" s="269"/>
      <c r="AF445" s="269"/>
      <c r="AG445" s="269"/>
      <c r="AH445" s="269"/>
      <c r="AI445" s="269"/>
      <c r="AJ445" s="269"/>
      <c r="AK445" s="269"/>
      <c r="AL445" s="269"/>
      <c r="AM445" s="269"/>
      <c r="AN445" s="269"/>
      <c r="AO445" s="269"/>
    </row>
    <row r="446" spans="24:41" ht="8.4499999999999993" hidden="1" customHeight="1">
      <c r="X446" s="269"/>
      <c r="Y446" s="269"/>
      <c r="Z446" s="269"/>
      <c r="AA446" s="269"/>
      <c r="AB446" s="269"/>
      <c r="AC446" s="269"/>
      <c r="AD446" s="269"/>
      <c r="AE446" s="269"/>
      <c r="AF446" s="269"/>
      <c r="AG446" s="269"/>
      <c r="AH446" s="269"/>
      <c r="AI446" s="269"/>
      <c r="AJ446" s="269"/>
      <c r="AK446" s="269"/>
      <c r="AL446" s="269"/>
      <c r="AM446" s="269"/>
      <c r="AN446" s="269"/>
      <c r="AO446" s="269"/>
    </row>
    <row r="447" spans="24:41" ht="8.4499999999999993" hidden="1" customHeight="1">
      <c r="X447" s="269"/>
      <c r="Y447" s="269"/>
      <c r="Z447" s="269"/>
      <c r="AA447" s="269"/>
      <c r="AB447" s="269"/>
      <c r="AC447" s="269"/>
      <c r="AD447" s="269"/>
      <c r="AE447" s="269"/>
      <c r="AF447" s="269"/>
      <c r="AG447" s="269"/>
      <c r="AH447" s="269"/>
      <c r="AI447" s="269"/>
      <c r="AJ447" s="269"/>
      <c r="AK447" s="269"/>
      <c r="AL447" s="269"/>
      <c r="AM447" s="269"/>
      <c r="AN447" s="269"/>
      <c r="AO447" s="269"/>
    </row>
    <row r="448" spans="24:41" ht="8.4499999999999993" hidden="1" customHeight="1">
      <c r="X448" s="269"/>
      <c r="Y448" s="269"/>
      <c r="Z448" s="269"/>
      <c r="AA448" s="269"/>
      <c r="AB448" s="269"/>
      <c r="AC448" s="269"/>
      <c r="AD448" s="269"/>
      <c r="AE448" s="269"/>
      <c r="AF448" s="269"/>
      <c r="AG448" s="269"/>
      <c r="AH448" s="269"/>
      <c r="AI448" s="269"/>
      <c r="AJ448" s="269"/>
      <c r="AK448" s="269"/>
      <c r="AL448" s="269"/>
      <c r="AM448" s="269"/>
      <c r="AN448" s="269"/>
      <c r="AO448" s="269"/>
    </row>
    <row r="449" spans="24:41" ht="8.4499999999999993" hidden="1" customHeight="1">
      <c r="X449" s="269"/>
      <c r="Y449" s="269"/>
      <c r="Z449" s="269"/>
      <c r="AA449" s="269"/>
      <c r="AB449" s="269"/>
      <c r="AC449" s="269"/>
      <c r="AD449" s="269"/>
      <c r="AE449" s="269"/>
      <c r="AF449" s="269"/>
      <c r="AG449" s="269"/>
      <c r="AH449" s="269"/>
      <c r="AI449" s="269"/>
      <c r="AJ449" s="269"/>
      <c r="AK449" s="269"/>
      <c r="AL449" s="269"/>
      <c r="AM449" s="269"/>
      <c r="AN449" s="269"/>
      <c r="AO449" s="269"/>
    </row>
    <row r="450" spans="24:41" ht="8.4499999999999993" hidden="1" customHeight="1">
      <c r="X450" s="269"/>
      <c r="Y450" s="269"/>
      <c r="Z450" s="269"/>
      <c r="AA450" s="269"/>
      <c r="AB450" s="269"/>
      <c r="AC450" s="269"/>
      <c r="AD450" s="269"/>
      <c r="AE450" s="269"/>
      <c r="AF450" s="269"/>
      <c r="AG450" s="269"/>
      <c r="AH450" s="269"/>
      <c r="AI450" s="269"/>
      <c r="AJ450" s="269"/>
      <c r="AK450" s="269"/>
      <c r="AL450" s="269"/>
      <c r="AM450" s="269"/>
      <c r="AN450" s="269"/>
      <c r="AO450" s="269"/>
    </row>
    <row r="451" spans="24:41" ht="8.4499999999999993" hidden="1" customHeight="1">
      <c r="X451" s="269"/>
      <c r="Y451" s="269"/>
      <c r="Z451" s="269"/>
      <c r="AA451" s="269"/>
      <c r="AB451" s="269"/>
      <c r="AC451" s="269"/>
      <c r="AD451" s="269"/>
      <c r="AE451" s="269"/>
      <c r="AF451" s="269"/>
      <c r="AG451" s="269"/>
      <c r="AH451" s="269"/>
      <c r="AI451" s="269"/>
      <c r="AJ451" s="269"/>
      <c r="AK451" s="269"/>
      <c r="AL451" s="269"/>
      <c r="AM451" s="269"/>
      <c r="AN451" s="269"/>
      <c r="AO451" s="269"/>
    </row>
    <row r="452" spans="24:41" ht="8.4499999999999993" hidden="1" customHeight="1">
      <c r="X452" s="269"/>
      <c r="Y452" s="269"/>
      <c r="Z452" s="269"/>
      <c r="AA452" s="269"/>
      <c r="AB452" s="269"/>
      <c r="AC452" s="269"/>
      <c r="AD452" s="269"/>
      <c r="AE452" s="269"/>
      <c r="AF452" s="269"/>
      <c r="AG452" s="269"/>
      <c r="AH452" s="269"/>
      <c r="AI452" s="269"/>
      <c r="AJ452" s="269"/>
      <c r="AK452" s="269"/>
      <c r="AL452" s="269"/>
      <c r="AM452" s="269"/>
      <c r="AN452" s="269"/>
      <c r="AO452" s="269"/>
    </row>
    <row r="453" spans="24:41" ht="8.4499999999999993" hidden="1" customHeight="1">
      <c r="X453" s="269"/>
      <c r="Y453" s="269"/>
      <c r="Z453" s="269"/>
      <c r="AA453" s="269"/>
      <c r="AB453" s="269"/>
      <c r="AC453" s="269"/>
      <c r="AD453" s="269"/>
      <c r="AE453" s="269"/>
      <c r="AF453" s="269"/>
      <c r="AG453" s="269"/>
      <c r="AH453" s="269"/>
      <c r="AI453" s="269"/>
      <c r="AJ453" s="269"/>
      <c r="AK453" s="269"/>
      <c r="AL453" s="269"/>
      <c r="AM453" s="269"/>
      <c r="AN453" s="269"/>
      <c r="AO453" s="269"/>
    </row>
    <row r="454" spans="24:41" ht="8.4499999999999993" hidden="1" customHeight="1">
      <c r="X454" s="269"/>
      <c r="Y454" s="269"/>
      <c r="Z454" s="269"/>
      <c r="AA454" s="269"/>
      <c r="AB454" s="269"/>
      <c r="AC454" s="269"/>
      <c r="AD454" s="269"/>
      <c r="AE454" s="269"/>
      <c r="AF454" s="269"/>
      <c r="AG454" s="269"/>
      <c r="AH454" s="269"/>
      <c r="AI454" s="269"/>
      <c r="AJ454" s="269"/>
      <c r="AK454" s="269"/>
      <c r="AL454" s="269"/>
      <c r="AM454" s="269"/>
      <c r="AN454" s="269"/>
      <c r="AO454" s="269"/>
    </row>
    <row r="455" spans="24:41" ht="8.4499999999999993" hidden="1" customHeight="1">
      <c r="X455" s="269"/>
      <c r="Y455" s="269"/>
      <c r="Z455" s="269"/>
      <c r="AA455" s="269"/>
      <c r="AB455" s="269"/>
      <c r="AC455" s="269"/>
      <c r="AD455" s="269"/>
      <c r="AE455" s="269"/>
      <c r="AF455" s="269"/>
      <c r="AG455" s="269"/>
      <c r="AH455" s="269"/>
      <c r="AI455" s="269"/>
      <c r="AJ455" s="269"/>
      <c r="AK455" s="269"/>
      <c r="AL455" s="269"/>
      <c r="AM455" s="269"/>
      <c r="AN455" s="269"/>
      <c r="AO455" s="269"/>
    </row>
    <row r="456" spans="24:41" ht="8.4499999999999993" hidden="1" customHeight="1">
      <c r="X456" s="269"/>
      <c r="Y456" s="269"/>
      <c r="Z456" s="269"/>
      <c r="AA456" s="269"/>
      <c r="AB456" s="269"/>
      <c r="AC456" s="269"/>
      <c r="AD456" s="269"/>
      <c r="AE456" s="269"/>
      <c r="AF456" s="269"/>
      <c r="AG456" s="269"/>
      <c r="AH456" s="269"/>
      <c r="AI456" s="269"/>
      <c r="AJ456" s="269"/>
      <c r="AK456" s="269"/>
      <c r="AL456" s="269"/>
      <c r="AM456" s="269"/>
      <c r="AN456" s="269"/>
      <c r="AO456" s="269"/>
    </row>
    <row r="457" spans="24:41" ht="8.4499999999999993" hidden="1" customHeight="1">
      <c r="X457" s="269"/>
      <c r="Y457" s="269"/>
      <c r="Z457" s="269"/>
      <c r="AA457" s="269"/>
      <c r="AB457" s="269"/>
      <c r="AC457" s="269"/>
      <c r="AD457" s="269"/>
      <c r="AE457" s="269"/>
      <c r="AF457" s="269"/>
      <c r="AG457" s="269"/>
      <c r="AH457" s="269"/>
      <c r="AI457" s="269"/>
      <c r="AJ457" s="269"/>
      <c r="AK457" s="269"/>
      <c r="AL457" s="269"/>
      <c r="AM457" s="269"/>
      <c r="AN457" s="269"/>
      <c r="AO457" s="269"/>
    </row>
    <row r="458" spans="24:41" ht="8.4499999999999993" hidden="1" customHeight="1">
      <c r="X458" s="269"/>
      <c r="Y458" s="269"/>
      <c r="Z458" s="269"/>
      <c r="AA458" s="269"/>
      <c r="AB458" s="269"/>
      <c r="AC458" s="269"/>
      <c r="AD458" s="269"/>
      <c r="AE458" s="269"/>
      <c r="AF458" s="269"/>
      <c r="AG458" s="269"/>
      <c r="AH458" s="269"/>
      <c r="AI458" s="269"/>
      <c r="AJ458" s="269"/>
      <c r="AK458" s="269"/>
      <c r="AL458" s="269"/>
      <c r="AM458" s="269"/>
      <c r="AN458" s="269"/>
      <c r="AO458" s="269"/>
    </row>
    <row r="459" spans="24:41" ht="8.4499999999999993" hidden="1" customHeight="1">
      <c r="X459" s="269"/>
      <c r="Y459" s="269"/>
      <c r="Z459" s="269"/>
      <c r="AA459" s="269"/>
      <c r="AB459" s="269"/>
      <c r="AC459" s="269"/>
      <c r="AD459" s="269"/>
      <c r="AE459" s="269"/>
      <c r="AF459" s="269"/>
      <c r="AG459" s="269"/>
      <c r="AH459" s="269"/>
      <c r="AI459" s="269"/>
      <c r="AJ459" s="269"/>
      <c r="AK459" s="269"/>
      <c r="AL459" s="269"/>
      <c r="AM459" s="269"/>
      <c r="AN459" s="269"/>
      <c r="AO459" s="269"/>
    </row>
    <row r="460" spans="24:41" ht="8.4499999999999993" hidden="1" customHeight="1">
      <c r="X460" s="269"/>
      <c r="Y460" s="269"/>
      <c r="Z460" s="269"/>
      <c r="AA460" s="269"/>
      <c r="AB460" s="269"/>
      <c r="AC460" s="269"/>
      <c r="AD460" s="269"/>
      <c r="AE460" s="269"/>
      <c r="AF460" s="269"/>
      <c r="AG460" s="269"/>
      <c r="AH460" s="269"/>
      <c r="AI460" s="269"/>
      <c r="AJ460" s="269"/>
      <c r="AK460" s="269"/>
      <c r="AL460" s="269"/>
      <c r="AM460" s="269"/>
      <c r="AN460" s="269"/>
      <c r="AO460" s="269"/>
    </row>
    <row r="461" spans="24:41" ht="8.4499999999999993" hidden="1" customHeight="1">
      <c r="X461" s="269"/>
      <c r="Y461" s="269"/>
      <c r="Z461" s="269"/>
      <c r="AA461" s="269"/>
      <c r="AB461" s="269"/>
      <c r="AC461" s="269"/>
      <c r="AD461" s="269"/>
      <c r="AE461" s="269"/>
      <c r="AF461" s="269"/>
      <c r="AG461" s="269"/>
      <c r="AH461" s="269"/>
      <c r="AI461" s="269"/>
      <c r="AJ461" s="269"/>
      <c r="AK461" s="269"/>
      <c r="AL461" s="269"/>
      <c r="AM461" s="269"/>
      <c r="AN461" s="269"/>
      <c r="AO461" s="269"/>
    </row>
    <row r="462" spans="24:41" ht="8.4499999999999993" hidden="1" customHeight="1">
      <c r="X462" s="269"/>
      <c r="Y462" s="269"/>
      <c r="Z462" s="269"/>
      <c r="AA462" s="269"/>
      <c r="AB462" s="269"/>
      <c r="AC462" s="269"/>
      <c r="AD462" s="269"/>
      <c r="AE462" s="269"/>
      <c r="AF462" s="269"/>
      <c r="AG462" s="269"/>
      <c r="AH462" s="269"/>
      <c r="AI462" s="269"/>
      <c r="AJ462" s="269"/>
      <c r="AK462" s="269"/>
      <c r="AL462" s="269"/>
      <c r="AM462" s="269"/>
      <c r="AN462" s="269"/>
      <c r="AO462" s="269"/>
    </row>
    <row r="463" spans="24:41" ht="8.4499999999999993" hidden="1" customHeight="1">
      <c r="X463" s="269"/>
      <c r="Y463" s="269"/>
      <c r="Z463" s="269"/>
      <c r="AA463" s="269"/>
      <c r="AB463" s="269"/>
      <c r="AC463" s="269"/>
      <c r="AD463" s="269"/>
      <c r="AE463" s="269"/>
      <c r="AF463" s="269"/>
      <c r="AG463" s="269"/>
      <c r="AH463" s="269"/>
      <c r="AI463" s="269"/>
      <c r="AJ463" s="269"/>
      <c r="AK463" s="269"/>
      <c r="AL463" s="269"/>
      <c r="AM463" s="269"/>
      <c r="AN463" s="269"/>
      <c r="AO463" s="269"/>
    </row>
    <row r="464" spans="24:41" ht="8.4499999999999993" hidden="1" customHeight="1">
      <c r="X464" s="269"/>
      <c r="Y464" s="269"/>
      <c r="Z464" s="269"/>
      <c r="AA464" s="269"/>
      <c r="AB464" s="269"/>
      <c r="AC464" s="269"/>
      <c r="AD464" s="269"/>
      <c r="AE464" s="269"/>
      <c r="AF464" s="269"/>
      <c r="AG464" s="269"/>
      <c r="AH464" s="269"/>
      <c r="AI464" s="269"/>
      <c r="AJ464" s="269"/>
      <c r="AK464" s="269"/>
      <c r="AL464" s="269"/>
      <c r="AM464" s="269"/>
      <c r="AN464" s="269"/>
      <c r="AO464" s="269"/>
    </row>
    <row r="465" spans="24:41" ht="8.4499999999999993" hidden="1" customHeight="1">
      <c r="X465" s="269"/>
      <c r="Y465" s="269"/>
      <c r="Z465" s="269"/>
      <c r="AA465" s="269"/>
      <c r="AB465" s="269"/>
      <c r="AC465" s="269"/>
      <c r="AD465" s="269"/>
      <c r="AE465" s="269"/>
      <c r="AF465" s="269"/>
      <c r="AG465" s="269"/>
      <c r="AH465" s="269"/>
      <c r="AI465" s="269"/>
      <c r="AJ465" s="269"/>
      <c r="AK465" s="269"/>
      <c r="AL465" s="269"/>
      <c r="AM465" s="269"/>
      <c r="AN465" s="269"/>
      <c r="AO465" s="269"/>
    </row>
    <row r="466" spans="24:41" ht="8.4499999999999993" hidden="1" customHeight="1">
      <c r="X466" s="269"/>
      <c r="Y466" s="269"/>
      <c r="Z466" s="269"/>
      <c r="AA466" s="269"/>
      <c r="AB466" s="269"/>
      <c r="AC466" s="269"/>
      <c r="AD466" s="269"/>
      <c r="AE466" s="269"/>
      <c r="AF466" s="269"/>
      <c r="AG466" s="269"/>
      <c r="AH466" s="269"/>
      <c r="AI466" s="269"/>
      <c r="AJ466" s="269"/>
      <c r="AK466" s="269"/>
      <c r="AL466" s="269"/>
      <c r="AM466" s="269"/>
      <c r="AN466" s="269"/>
      <c r="AO466" s="269"/>
    </row>
    <row r="467" spans="24:41" ht="8.4499999999999993" hidden="1" customHeight="1">
      <c r="X467" s="269"/>
      <c r="Y467" s="269"/>
      <c r="Z467" s="269"/>
      <c r="AA467" s="269"/>
      <c r="AB467" s="269"/>
      <c r="AC467" s="269"/>
      <c r="AD467" s="269"/>
      <c r="AE467" s="269"/>
      <c r="AF467" s="269"/>
      <c r="AG467" s="269"/>
      <c r="AH467" s="269"/>
      <c r="AI467" s="269"/>
      <c r="AJ467" s="269"/>
      <c r="AK467" s="269"/>
      <c r="AL467" s="269"/>
      <c r="AM467" s="269"/>
      <c r="AN467" s="269"/>
      <c r="AO467" s="269"/>
    </row>
    <row r="468" spans="24:41" ht="8.4499999999999993" hidden="1" customHeight="1">
      <c r="X468" s="269"/>
      <c r="Y468" s="269"/>
      <c r="Z468" s="269"/>
      <c r="AA468" s="269"/>
      <c r="AB468" s="269"/>
      <c r="AC468" s="269"/>
      <c r="AD468" s="269"/>
      <c r="AE468" s="269"/>
      <c r="AF468" s="269"/>
      <c r="AG468" s="269"/>
      <c r="AH468" s="269"/>
      <c r="AI468" s="269"/>
      <c r="AJ468" s="269"/>
      <c r="AK468" s="269"/>
      <c r="AL468" s="269"/>
      <c r="AM468" s="269"/>
      <c r="AN468" s="269"/>
      <c r="AO468" s="269"/>
    </row>
    <row r="469" spans="24:41" ht="8.4499999999999993" hidden="1" customHeight="1">
      <c r="X469" s="269"/>
      <c r="Y469" s="269"/>
      <c r="Z469" s="269"/>
      <c r="AA469" s="269"/>
      <c r="AB469" s="269"/>
      <c r="AC469" s="269"/>
      <c r="AD469" s="269"/>
      <c r="AE469" s="269"/>
      <c r="AF469" s="269"/>
      <c r="AG469" s="269"/>
      <c r="AH469" s="269"/>
      <c r="AI469" s="269"/>
      <c r="AJ469" s="269"/>
      <c r="AK469" s="269"/>
      <c r="AL469" s="269"/>
      <c r="AM469" s="269"/>
      <c r="AN469" s="269"/>
      <c r="AO469" s="269"/>
    </row>
    <row r="470" spans="24:41" ht="8.4499999999999993" hidden="1" customHeight="1">
      <c r="X470" s="269"/>
      <c r="Y470" s="269"/>
      <c r="Z470" s="269"/>
      <c r="AA470" s="269"/>
      <c r="AB470" s="269"/>
      <c r="AC470" s="269"/>
      <c r="AD470" s="269"/>
      <c r="AE470" s="269"/>
      <c r="AF470" s="269"/>
      <c r="AG470" s="269"/>
      <c r="AH470" s="269"/>
      <c r="AI470" s="269"/>
      <c r="AJ470" s="269"/>
      <c r="AK470" s="269"/>
      <c r="AL470" s="269"/>
      <c r="AM470" s="269"/>
      <c r="AN470" s="269"/>
      <c r="AO470" s="269"/>
    </row>
    <row r="471" spans="24:41" ht="8.4499999999999993" hidden="1" customHeight="1">
      <c r="X471" s="269"/>
      <c r="Y471" s="269"/>
      <c r="Z471" s="269"/>
      <c r="AA471" s="269"/>
      <c r="AB471" s="269"/>
      <c r="AC471" s="269"/>
      <c r="AD471" s="269"/>
      <c r="AE471" s="269"/>
      <c r="AF471" s="269"/>
      <c r="AG471" s="269"/>
      <c r="AH471" s="269"/>
      <c r="AI471" s="269"/>
      <c r="AJ471" s="269"/>
      <c r="AK471" s="269"/>
      <c r="AL471" s="269"/>
      <c r="AM471" s="269"/>
      <c r="AN471" s="269"/>
      <c r="AO471" s="269"/>
    </row>
    <row r="472" spans="24:41" ht="8.4499999999999993" hidden="1" customHeight="1">
      <c r="X472" s="269"/>
      <c r="Y472" s="269"/>
      <c r="Z472" s="269"/>
      <c r="AA472" s="269"/>
      <c r="AB472" s="269"/>
      <c r="AC472" s="269"/>
      <c r="AD472" s="269"/>
      <c r="AE472" s="269"/>
      <c r="AF472" s="269"/>
      <c r="AG472" s="269"/>
      <c r="AH472" s="269"/>
      <c r="AI472" s="269"/>
      <c r="AJ472" s="269"/>
      <c r="AK472" s="269"/>
      <c r="AL472" s="269"/>
      <c r="AM472" s="269"/>
      <c r="AN472" s="269"/>
      <c r="AO472" s="269"/>
    </row>
    <row r="473" spans="24:41" ht="8.4499999999999993" hidden="1" customHeight="1">
      <c r="X473" s="269"/>
      <c r="Y473" s="269"/>
      <c r="Z473" s="269"/>
      <c r="AA473" s="269"/>
      <c r="AB473" s="269"/>
      <c r="AC473" s="269"/>
      <c r="AD473" s="269"/>
      <c r="AE473" s="269"/>
      <c r="AF473" s="269"/>
      <c r="AG473" s="269"/>
      <c r="AH473" s="269"/>
      <c r="AI473" s="269"/>
      <c r="AJ473" s="269"/>
      <c r="AK473" s="269"/>
      <c r="AL473" s="269"/>
      <c r="AM473" s="269"/>
      <c r="AN473" s="269"/>
      <c r="AO473" s="269"/>
    </row>
    <row r="474" spans="24:41" ht="8.4499999999999993" hidden="1" customHeight="1">
      <c r="X474" s="269"/>
      <c r="Y474" s="269"/>
      <c r="Z474" s="269"/>
      <c r="AA474" s="269"/>
      <c r="AB474" s="269"/>
      <c r="AC474" s="269"/>
      <c r="AD474" s="269"/>
      <c r="AE474" s="269"/>
      <c r="AF474" s="269"/>
      <c r="AG474" s="269"/>
      <c r="AH474" s="269"/>
      <c r="AI474" s="269"/>
      <c r="AJ474" s="269"/>
      <c r="AK474" s="269"/>
      <c r="AL474" s="269"/>
      <c r="AM474" s="269"/>
      <c r="AN474" s="269"/>
      <c r="AO474" s="269"/>
    </row>
    <row r="475" spans="24:41" ht="8.4499999999999993" hidden="1" customHeight="1">
      <c r="X475" s="269"/>
      <c r="Y475" s="269"/>
      <c r="Z475" s="269"/>
      <c r="AA475" s="269"/>
      <c r="AB475" s="269"/>
      <c r="AC475" s="269"/>
      <c r="AD475" s="269"/>
      <c r="AE475" s="269"/>
      <c r="AF475" s="269"/>
      <c r="AG475" s="269"/>
      <c r="AH475" s="269"/>
      <c r="AI475" s="269"/>
      <c r="AJ475" s="269"/>
      <c r="AK475" s="269"/>
      <c r="AL475" s="269"/>
      <c r="AM475" s="269"/>
      <c r="AN475" s="269"/>
      <c r="AO475" s="269"/>
    </row>
    <row r="476" spans="24:41" ht="8.4499999999999993" hidden="1" customHeight="1">
      <c r="X476" s="269"/>
      <c r="Y476" s="269"/>
      <c r="Z476" s="269"/>
      <c r="AA476" s="269"/>
      <c r="AB476" s="269"/>
      <c r="AC476" s="269"/>
      <c r="AD476" s="269"/>
      <c r="AE476" s="269"/>
      <c r="AF476" s="269"/>
      <c r="AG476" s="269"/>
      <c r="AH476" s="269"/>
      <c r="AI476" s="269"/>
      <c r="AJ476" s="269"/>
      <c r="AK476" s="269"/>
      <c r="AL476" s="269"/>
      <c r="AM476" s="269"/>
      <c r="AN476" s="269"/>
      <c r="AO476" s="269"/>
    </row>
    <row r="477" spans="24:41" ht="8.4499999999999993" hidden="1" customHeight="1">
      <c r="X477" s="269"/>
      <c r="Y477" s="269"/>
      <c r="Z477" s="269"/>
      <c r="AA477" s="269"/>
      <c r="AB477" s="269"/>
      <c r="AC477" s="269"/>
      <c r="AD477" s="269"/>
      <c r="AE477" s="269"/>
      <c r="AF477" s="269"/>
      <c r="AG477" s="269"/>
      <c r="AH477" s="269"/>
      <c r="AI477" s="269"/>
      <c r="AJ477" s="269"/>
      <c r="AK477" s="269"/>
      <c r="AL477" s="269"/>
      <c r="AM477" s="269"/>
      <c r="AN477" s="269"/>
      <c r="AO477" s="269"/>
    </row>
    <row r="478" spans="24:41" ht="8.4499999999999993" hidden="1" customHeight="1">
      <c r="X478" s="269"/>
      <c r="Y478" s="269"/>
      <c r="Z478" s="269"/>
      <c r="AA478" s="269"/>
      <c r="AB478" s="269"/>
      <c r="AC478" s="269"/>
      <c r="AD478" s="269"/>
      <c r="AE478" s="269"/>
      <c r="AF478" s="269"/>
      <c r="AG478" s="269"/>
      <c r="AH478" s="269"/>
      <c r="AI478" s="269"/>
      <c r="AJ478" s="269"/>
      <c r="AK478" s="269"/>
      <c r="AL478" s="269"/>
      <c r="AM478" s="269"/>
      <c r="AN478" s="269"/>
      <c r="AO478" s="269"/>
    </row>
    <row r="479" spans="24:41" ht="8.4499999999999993" hidden="1" customHeight="1">
      <c r="X479" s="269"/>
      <c r="Y479" s="269"/>
      <c r="Z479" s="269"/>
      <c r="AA479" s="269"/>
      <c r="AB479" s="269"/>
      <c r="AC479" s="269"/>
      <c r="AD479" s="269"/>
      <c r="AE479" s="269"/>
      <c r="AF479" s="269"/>
      <c r="AG479" s="269"/>
      <c r="AH479" s="269"/>
      <c r="AI479" s="269"/>
      <c r="AJ479" s="269"/>
      <c r="AK479" s="269"/>
      <c r="AL479" s="269"/>
      <c r="AM479" s="269"/>
      <c r="AN479" s="269"/>
      <c r="AO479" s="269"/>
    </row>
    <row r="480" spans="24:41" ht="8.4499999999999993" hidden="1" customHeight="1">
      <c r="X480" s="269"/>
      <c r="Y480" s="269"/>
      <c r="Z480" s="269"/>
      <c r="AA480" s="269"/>
      <c r="AB480" s="269"/>
      <c r="AC480" s="269"/>
      <c r="AD480" s="269"/>
      <c r="AE480" s="269"/>
      <c r="AF480" s="269"/>
      <c r="AG480" s="269"/>
      <c r="AH480" s="269"/>
      <c r="AI480" s="269"/>
      <c r="AJ480" s="269"/>
      <c r="AK480" s="269"/>
      <c r="AL480" s="269"/>
      <c r="AM480" s="269"/>
      <c r="AN480" s="269"/>
      <c r="AO480" s="269"/>
    </row>
    <row r="481" spans="24:41" ht="8.4499999999999993" hidden="1" customHeight="1">
      <c r="X481" s="269"/>
      <c r="Y481" s="269"/>
      <c r="Z481" s="269"/>
      <c r="AA481" s="269"/>
      <c r="AB481" s="269"/>
      <c r="AC481" s="269"/>
      <c r="AD481" s="269"/>
      <c r="AE481" s="269"/>
      <c r="AF481" s="269"/>
      <c r="AG481" s="269"/>
      <c r="AH481" s="269"/>
      <c r="AI481" s="269"/>
      <c r="AJ481" s="269"/>
      <c r="AK481" s="269"/>
      <c r="AL481" s="269"/>
      <c r="AM481" s="269"/>
      <c r="AN481" s="269"/>
      <c r="AO481" s="269"/>
    </row>
    <row r="482" spans="24:41" ht="8.4499999999999993" hidden="1" customHeight="1">
      <c r="X482" s="269"/>
      <c r="Y482" s="269"/>
      <c r="Z482" s="269"/>
      <c r="AA482" s="269"/>
      <c r="AB482" s="269"/>
      <c r="AC482" s="269"/>
      <c r="AD482" s="269"/>
      <c r="AE482" s="269"/>
      <c r="AF482" s="269"/>
      <c r="AG482" s="269"/>
      <c r="AH482" s="269"/>
      <c r="AI482" s="269"/>
      <c r="AJ482" s="269"/>
      <c r="AK482" s="269"/>
      <c r="AL482" s="269"/>
      <c r="AM482" s="269"/>
      <c r="AN482" s="269"/>
      <c r="AO482" s="269"/>
    </row>
    <row r="483" spans="24:41" ht="8.4499999999999993" hidden="1" customHeight="1">
      <c r="X483" s="269"/>
      <c r="Y483" s="269"/>
      <c r="Z483" s="269"/>
      <c r="AA483" s="269"/>
      <c r="AB483" s="269"/>
      <c r="AC483" s="269"/>
      <c r="AD483" s="269"/>
      <c r="AE483" s="269"/>
      <c r="AF483" s="269"/>
      <c r="AG483" s="269"/>
      <c r="AH483" s="269"/>
      <c r="AI483" s="269"/>
      <c r="AJ483" s="269"/>
      <c r="AK483" s="269"/>
      <c r="AL483" s="269"/>
      <c r="AM483" s="269"/>
      <c r="AN483" s="269"/>
      <c r="AO483" s="269"/>
    </row>
    <row r="484" spans="24:41" ht="8.4499999999999993" hidden="1" customHeight="1">
      <c r="X484" s="269"/>
      <c r="Y484" s="269"/>
      <c r="Z484" s="269"/>
      <c r="AA484" s="269"/>
      <c r="AB484" s="269"/>
      <c r="AC484" s="269"/>
      <c r="AD484" s="269"/>
      <c r="AE484" s="269"/>
      <c r="AF484" s="269"/>
      <c r="AG484" s="269"/>
      <c r="AH484" s="269"/>
      <c r="AI484" s="269"/>
      <c r="AJ484" s="269"/>
      <c r="AK484" s="269"/>
      <c r="AL484" s="269"/>
      <c r="AM484" s="269"/>
      <c r="AN484" s="269"/>
      <c r="AO484" s="269"/>
    </row>
    <row r="485" spans="24:41" ht="8.4499999999999993" hidden="1" customHeight="1">
      <c r="X485" s="269"/>
      <c r="Y485" s="269"/>
      <c r="Z485" s="269"/>
      <c r="AA485" s="269"/>
      <c r="AB485" s="269"/>
      <c r="AC485" s="269"/>
      <c r="AD485" s="269"/>
      <c r="AE485" s="269"/>
      <c r="AF485" s="269"/>
      <c r="AG485" s="269"/>
      <c r="AH485" s="269"/>
      <c r="AI485" s="269"/>
      <c r="AJ485" s="269"/>
      <c r="AK485" s="269"/>
      <c r="AL485" s="269"/>
      <c r="AM485" s="269"/>
      <c r="AN485" s="269"/>
      <c r="AO485" s="269"/>
    </row>
    <row r="486" spans="24:41" ht="8.4499999999999993" hidden="1" customHeight="1">
      <c r="X486" s="269"/>
      <c r="Y486" s="269"/>
      <c r="Z486" s="269"/>
      <c r="AA486" s="269"/>
      <c r="AB486" s="269"/>
      <c r="AC486" s="269"/>
      <c r="AD486" s="269"/>
      <c r="AE486" s="269"/>
      <c r="AF486" s="269"/>
      <c r="AG486" s="269"/>
      <c r="AH486" s="269"/>
      <c r="AI486" s="269"/>
      <c r="AJ486" s="269"/>
      <c r="AK486" s="269"/>
      <c r="AL486" s="269"/>
      <c r="AM486" s="269"/>
      <c r="AN486" s="269"/>
      <c r="AO486" s="269"/>
    </row>
    <row r="487" spans="24:41" ht="8.4499999999999993" hidden="1" customHeight="1">
      <c r="X487" s="269"/>
      <c r="Y487" s="269"/>
      <c r="Z487" s="269"/>
      <c r="AA487" s="269"/>
      <c r="AB487" s="269"/>
      <c r="AC487" s="269"/>
      <c r="AD487" s="269"/>
      <c r="AE487" s="269"/>
      <c r="AF487" s="269"/>
      <c r="AG487" s="269"/>
      <c r="AH487" s="269"/>
      <c r="AI487" s="269"/>
      <c r="AJ487" s="269"/>
      <c r="AK487" s="269"/>
      <c r="AL487" s="269"/>
      <c r="AM487" s="269"/>
      <c r="AN487" s="269"/>
      <c r="AO487" s="269"/>
    </row>
    <row r="488" spans="24:41" ht="8.4499999999999993" hidden="1" customHeight="1">
      <c r="X488" s="269"/>
      <c r="Y488" s="269"/>
      <c r="Z488" s="269"/>
      <c r="AA488" s="269"/>
      <c r="AB488" s="269"/>
      <c r="AC488" s="269"/>
      <c r="AD488" s="269"/>
      <c r="AE488" s="269"/>
      <c r="AF488" s="269"/>
      <c r="AG488" s="269"/>
      <c r="AH488" s="269"/>
      <c r="AI488" s="269"/>
      <c r="AJ488" s="269"/>
      <c r="AK488" s="269"/>
      <c r="AL488" s="269"/>
      <c r="AM488" s="269"/>
      <c r="AN488" s="269"/>
      <c r="AO488" s="269"/>
    </row>
    <row r="489" spans="24:41" ht="8.4499999999999993" hidden="1" customHeight="1">
      <c r="X489" s="269"/>
      <c r="Y489" s="269"/>
      <c r="Z489" s="269"/>
      <c r="AA489" s="269"/>
      <c r="AB489" s="269"/>
      <c r="AC489" s="269"/>
      <c r="AD489" s="269"/>
      <c r="AE489" s="269"/>
      <c r="AF489" s="269"/>
      <c r="AG489" s="269"/>
      <c r="AH489" s="269"/>
      <c r="AI489" s="269"/>
      <c r="AJ489" s="269"/>
      <c r="AK489" s="269"/>
      <c r="AL489" s="269"/>
      <c r="AM489" s="269"/>
      <c r="AN489" s="269"/>
      <c r="AO489" s="269"/>
    </row>
    <row r="490" spans="24:41" ht="8.4499999999999993" hidden="1" customHeight="1">
      <c r="X490" s="269"/>
      <c r="Y490" s="269"/>
      <c r="Z490" s="269"/>
      <c r="AA490" s="269"/>
      <c r="AB490" s="269"/>
      <c r="AC490" s="269"/>
      <c r="AD490" s="269"/>
      <c r="AE490" s="269"/>
      <c r="AF490" s="269"/>
      <c r="AG490" s="269"/>
      <c r="AH490" s="269"/>
      <c r="AI490" s="269"/>
      <c r="AJ490" s="269"/>
      <c r="AK490" s="269"/>
      <c r="AL490" s="269"/>
      <c r="AM490" s="269"/>
      <c r="AN490" s="269"/>
      <c r="AO490" s="269"/>
    </row>
    <row r="491" spans="24:41" ht="8.4499999999999993" hidden="1" customHeight="1">
      <c r="X491" s="269"/>
      <c r="Y491" s="269"/>
      <c r="Z491" s="269"/>
      <c r="AA491" s="269"/>
      <c r="AB491" s="269"/>
      <c r="AC491" s="269"/>
      <c r="AD491" s="269"/>
      <c r="AE491" s="269"/>
      <c r="AF491" s="269"/>
      <c r="AG491" s="269"/>
      <c r="AH491" s="269"/>
      <c r="AI491" s="269"/>
      <c r="AJ491" s="269"/>
      <c r="AK491" s="269"/>
      <c r="AL491" s="269"/>
      <c r="AM491" s="269"/>
      <c r="AN491" s="269"/>
      <c r="AO491" s="269"/>
    </row>
    <row r="492" spans="24:41" ht="8.4499999999999993" hidden="1" customHeight="1">
      <c r="X492" s="269"/>
      <c r="Y492" s="269"/>
      <c r="Z492" s="269"/>
      <c r="AA492" s="269"/>
      <c r="AB492" s="269"/>
      <c r="AC492" s="269"/>
      <c r="AD492" s="269"/>
      <c r="AE492" s="269"/>
      <c r="AF492" s="269"/>
      <c r="AG492" s="269"/>
      <c r="AH492" s="269"/>
      <c r="AI492" s="269"/>
      <c r="AJ492" s="269"/>
      <c r="AK492" s="269"/>
      <c r="AL492" s="269"/>
      <c r="AM492" s="269"/>
      <c r="AN492" s="269"/>
      <c r="AO492" s="269"/>
    </row>
    <row r="493" spans="24:41" ht="8.4499999999999993" hidden="1" customHeight="1">
      <c r="X493" s="269"/>
      <c r="Y493" s="269"/>
      <c r="Z493" s="269"/>
      <c r="AA493" s="269"/>
      <c r="AB493" s="269"/>
      <c r="AC493" s="269"/>
      <c r="AD493" s="269"/>
      <c r="AE493" s="269"/>
      <c r="AF493" s="269"/>
      <c r="AG493" s="269"/>
      <c r="AH493" s="269"/>
      <c r="AI493" s="269"/>
      <c r="AJ493" s="269"/>
      <c r="AK493" s="269"/>
      <c r="AL493" s="269"/>
      <c r="AM493" s="269"/>
      <c r="AN493" s="269"/>
      <c r="AO493" s="269"/>
    </row>
    <row r="494" spans="24:41" ht="8.4499999999999993" hidden="1" customHeight="1">
      <c r="X494" s="269"/>
      <c r="Y494" s="269"/>
      <c r="Z494" s="269"/>
      <c r="AA494" s="269"/>
      <c r="AB494" s="269"/>
      <c r="AC494" s="269"/>
      <c r="AD494" s="269"/>
      <c r="AE494" s="269"/>
      <c r="AF494" s="269"/>
      <c r="AG494" s="269"/>
      <c r="AH494" s="269"/>
      <c r="AI494" s="269"/>
      <c r="AJ494" s="269"/>
      <c r="AK494" s="269"/>
      <c r="AL494" s="269"/>
      <c r="AM494" s="269"/>
      <c r="AN494" s="269"/>
      <c r="AO494" s="269"/>
    </row>
    <row r="495" spans="24:41" ht="8.4499999999999993" hidden="1" customHeight="1">
      <c r="X495" s="269"/>
      <c r="Y495" s="269"/>
      <c r="Z495" s="269"/>
      <c r="AA495" s="269"/>
      <c r="AB495" s="269"/>
      <c r="AC495" s="269"/>
      <c r="AD495" s="269"/>
      <c r="AE495" s="269"/>
      <c r="AF495" s="269"/>
      <c r="AG495" s="269"/>
      <c r="AH495" s="269"/>
      <c r="AI495" s="269"/>
      <c r="AJ495" s="269"/>
      <c r="AK495" s="269"/>
      <c r="AL495" s="269"/>
      <c r="AM495" s="269"/>
      <c r="AN495" s="269"/>
      <c r="AO495" s="269"/>
    </row>
    <row r="496" spans="24:41" ht="8.4499999999999993" hidden="1" customHeight="1">
      <c r="X496" s="269"/>
      <c r="Y496" s="269"/>
      <c r="Z496" s="269"/>
      <c r="AA496" s="269"/>
      <c r="AB496" s="269"/>
      <c r="AC496" s="269"/>
      <c r="AD496" s="269"/>
      <c r="AE496" s="269"/>
      <c r="AF496" s="269"/>
      <c r="AG496" s="269"/>
      <c r="AH496" s="269"/>
      <c r="AI496" s="269"/>
      <c r="AJ496" s="269"/>
      <c r="AK496" s="269"/>
      <c r="AL496" s="269"/>
      <c r="AM496" s="269"/>
      <c r="AN496" s="269"/>
      <c r="AO496" s="269"/>
    </row>
    <row r="497" spans="24:41" ht="8.4499999999999993" hidden="1" customHeight="1">
      <c r="X497" s="269"/>
      <c r="Y497" s="269"/>
      <c r="Z497" s="269"/>
      <c r="AA497" s="269"/>
      <c r="AB497" s="269"/>
      <c r="AC497" s="269"/>
      <c r="AD497" s="269"/>
      <c r="AE497" s="269"/>
      <c r="AF497" s="269"/>
      <c r="AG497" s="269"/>
      <c r="AH497" s="269"/>
      <c r="AI497" s="269"/>
      <c r="AJ497" s="269"/>
      <c r="AK497" s="269"/>
      <c r="AL497" s="269"/>
      <c r="AM497" s="269"/>
      <c r="AN497" s="269"/>
      <c r="AO497" s="269"/>
    </row>
    <row r="498" spans="24:41" ht="8.4499999999999993" hidden="1" customHeight="1">
      <c r="X498" s="269"/>
      <c r="Y498" s="269"/>
      <c r="Z498" s="269"/>
      <c r="AA498" s="269"/>
      <c r="AB498" s="269"/>
      <c r="AC498" s="269"/>
      <c r="AD498" s="269"/>
      <c r="AE498" s="269"/>
      <c r="AF498" s="269"/>
      <c r="AG498" s="269"/>
      <c r="AH498" s="269"/>
      <c r="AI498" s="269"/>
      <c r="AJ498" s="269"/>
      <c r="AK498" s="269"/>
      <c r="AL498" s="269"/>
      <c r="AM498" s="269"/>
      <c r="AN498" s="269"/>
      <c r="AO498" s="269"/>
    </row>
    <row r="499" spans="24:41" ht="8.4499999999999993" hidden="1" customHeight="1">
      <c r="X499" s="269"/>
      <c r="Y499" s="269"/>
      <c r="Z499" s="269"/>
      <c r="AA499" s="269"/>
      <c r="AB499" s="269"/>
      <c r="AC499" s="269"/>
      <c r="AD499" s="269"/>
      <c r="AE499" s="269"/>
      <c r="AF499" s="269"/>
      <c r="AG499" s="269"/>
      <c r="AH499" s="269"/>
      <c r="AI499" s="269"/>
      <c r="AJ499" s="269"/>
      <c r="AK499" s="269"/>
      <c r="AL499" s="269"/>
      <c r="AM499" s="269"/>
      <c r="AN499" s="269"/>
      <c r="AO499" s="269"/>
    </row>
    <row r="500" spans="24:41" ht="8.4499999999999993" hidden="1" customHeight="1">
      <c r="X500" s="269"/>
      <c r="Y500" s="269"/>
      <c r="Z500" s="269"/>
      <c r="AA500" s="269"/>
      <c r="AB500" s="269"/>
      <c r="AC500" s="269"/>
      <c r="AD500" s="269"/>
      <c r="AE500" s="269"/>
      <c r="AF500" s="269"/>
      <c r="AG500" s="269"/>
      <c r="AH500" s="269"/>
      <c r="AI500" s="269"/>
      <c r="AJ500" s="269"/>
      <c r="AK500" s="269"/>
      <c r="AL500" s="269"/>
      <c r="AM500" s="269"/>
      <c r="AN500" s="269"/>
      <c r="AO500" s="269"/>
    </row>
    <row r="501" spans="24:41" ht="8.4499999999999993" hidden="1" customHeight="1">
      <c r="X501" s="269"/>
      <c r="Y501" s="269"/>
      <c r="Z501" s="269"/>
      <c r="AA501" s="269"/>
      <c r="AB501" s="269"/>
      <c r="AC501" s="269"/>
      <c r="AD501" s="269"/>
      <c r="AE501" s="269"/>
      <c r="AF501" s="269"/>
      <c r="AG501" s="269"/>
      <c r="AH501" s="269"/>
      <c r="AI501" s="269"/>
      <c r="AJ501" s="269"/>
      <c r="AK501" s="269"/>
      <c r="AL501" s="269"/>
      <c r="AM501" s="269"/>
      <c r="AN501" s="269"/>
      <c r="AO501" s="269"/>
    </row>
    <row r="502" spans="24:41" ht="8.4499999999999993" hidden="1" customHeight="1">
      <c r="X502" s="269"/>
      <c r="Y502" s="269"/>
      <c r="Z502" s="269"/>
      <c r="AA502" s="269"/>
      <c r="AB502" s="269"/>
      <c r="AC502" s="269"/>
      <c r="AD502" s="269"/>
      <c r="AE502" s="269"/>
      <c r="AF502" s="269"/>
      <c r="AG502" s="269"/>
      <c r="AH502" s="269"/>
      <c r="AI502" s="269"/>
      <c r="AJ502" s="269"/>
      <c r="AK502" s="269"/>
      <c r="AL502" s="269"/>
      <c r="AM502" s="269"/>
      <c r="AN502" s="269"/>
      <c r="AO502" s="269"/>
    </row>
    <row r="503" spans="24:41" ht="8.4499999999999993" hidden="1" customHeight="1">
      <c r="X503" s="269"/>
      <c r="Y503" s="269"/>
      <c r="Z503" s="269"/>
      <c r="AA503" s="269"/>
      <c r="AB503" s="269"/>
      <c r="AC503" s="269"/>
      <c r="AD503" s="269"/>
      <c r="AE503" s="269"/>
      <c r="AF503" s="269"/>
      <c r="AG503" s="269"/>
      <c r="AH503" s="269"/>
      <c r="AI503" s="269"/>
      <c r="AJ503" s="269"/>
      <c r="AK503" s="269"/>
      <c r="AL503" s="269"/>
      <c r="AM503" s="269"/>
      <c r="AN503" s="269"/>
      <c r="AO503" s="269"/>
    </row>
    <row r="504" spans="24:41" ht="8.4499999999999993" hidden="1" customHeight="1">
      <c r="X504" s="269"/>
      <c r="Y504" s="269"/>
      <c r="Z504" s="269"/>
      <c r="AA504" s="269"/>
      <c r="AB504" s="269"/>
      <c r="AC504" s="269"/>
      <c r="AD504" s="269"/>
      <c r="AE504" s="269"/>
      <c r="AF504" s="269"/>
      <c r="AG504" s="269"/>
      <c r="AH504" s="269"/>
      <c r="AI504" s="269"/>
      <c r="AJ504" s="269"/>
      <c r="AK504" s="269"/>
      <c r="AL504" s="269"/>
      <c r="AM504" s="269"/>
      <c r="AN504" s="269"/>
      <c r="AO504" s="269"/>
    </row>
    <row r="505" spans="24:41" ht="8.4499999999999993" hidden="1" customHeight="1">
      <c r="X505" s="269"/>
      <c r="Y505" s="269"/>
      <c r="Z505" s="269"/>
      <c r="AA505" s="269"/>
      <c r="AB505" s="269"/>
      <c r="AC505" s="269"/>
      <c r="AD505" s="269"/>
      <c r="AE505" s="269"/>
      <c r="AF505" s="269"/>
      <c r="AG505" s="269"/>
      <c r="AH505" s="269"/>
      <c r="AI505" s="269"/>
      <c r="AJ505" s="269"/>
      <c r="AK505" s="269"/>
      <c r="AL505" s="269"/>
      <c r="AM505" s="269"/>
      <c r="AN505" s="269"/>
      <c r="AO505" s="269"/>
    </row>
    <row r="506" spans="24:41" ht="8.4499999999999993" hidden="1" customHeight="1">
      <c r="X506" s="269"/>
      <c r="Y506" s="269"/>
      <c r="Z506" s="269"/>
      <c r="AA506" s="269"/>
      <c r="AB506" s="269"/>
      <c r="AC506" s="269"/>
      <c r="AD506" s="269"/>
      <c r="AE506" s="269"/>
      <c r="AF506" s="269"/>
      <c r="AG506" s="269"/>
      <c r="AH506" s="269"/>
      <c r="AI506" s="269"/>
      <c r="AJ506" s="269"/>
      <c r="AK506" s="269"/>
      <c r="AL506" s="269"/>
      <c r="AM506" s="269"/>
      <c r="AN506" s="269"/>
      <c r="AO506" s="269"/>
    </row>
    <row r="507" spans="24:41" ht="8.4499999999999993" hidden="1" customHeight="1">
      <c r="X507" s="269"/>
      <c r="Y507" s="269"/>
      <c r="Z507" s="269"/>
      <c r="AA507" s="269"/>
      <c r="AB507" s="269"/>
      <c r="AC507" s="269"/>
      <c r="AD507" s="269"/>
      <c r="AE507" s="269"/>
      <c r="AF507" s="269"/>
      <c r="AG507" s="269"/>
      <c r="AH507" s="269"/>
      <c r="AI507" s="269"/>
      <c r="AJ507" s="269"/>
      <c r="AK507" s="269"/>
      <c r="AL507" s="269"/>
      <c r="AM507" s="269"/>
      <c r="AN507" s="269"/>
      <c r="AO507" s="269"/>
    </row>
    <row r="508" spans="24:41" ht="8.4499999999999993" hidden="1" customHeight="1">
      <c r="X508" s="269"/>
      <c r="Y508" s="269"/>
      <c r="Z508" s="269"/>
      <c r="AA508" s="269"/>
      <c r="AB508" s="269"/>
      <c r="AC508" s="269"/>
      <c r="AD508" s="269"/>
      <c r="AE508" s="269"/>
      <c r="AF508" s="269"/>
      <c r="AG508" s="269"/>
      <c r="AH508" s="269"/>
      <c r="AI508" s="269"/>
      <c r="AJ508" s="269"/>
      <c r="AK508" s="269"/>
      <c r="AL508" s="269"/>
      <c r="AM508" s="269"/>
      <c r="AN508" s="269"/>
      <c r="AO508" s="269"/>
    </row>
    <row r="509" spans="24:41" ht="8.4499999999999993" hidden="1" customHeight="1">
      <c r="X509" s="269"/>
      <c r="Y509" s="269"/>
      <c r="Z509" s="269"/>
      <c r="AA509" s="269"/>
      <c r="AB509" s="269"/>
      <c r="AC509" s="269"/>
      <c r="AD509" s="269"/>
      <c r="AE509" s="269"/>
      <c r="AF509" s="269"/>
      <c r="AG509" s="269"/>
      <c r="AH509" s="269"/>
      <c r="AI509" s="269"/>
      <c r="AJ509" s="269"/>
      <c r="AK509" s="269"/>
      <c r="AL509" s="269"/>
      <c r="AM509" s="269"/>
      <c r="AN509" s="269"/>
      <c r="AO509" s="269"/>
    </row>
    <row r="510" spans="24:41" ht="8.4499999999999993" hidden="1" customHeight="1">
      <c r="X510" s="269"/>
      <c r="Y510" s="269"/>
      <c r="Z510" s="269"/>
      <c r="AA510" s="269"/>
      <c r="AB510" s="269"/>
      <c r="AC510" s="269"/>
      <c r="AD510" s="269"/>
      <c r="AE510" s="269"/>
      <c r="AF510" s="269"/>
      <c r="AG510" s="269"/>
      <c r="AH510" s="269"/>
      <c r="AI510" s="269"/>
      <c r="AJ510" s="269"/>
      <c r="AK510" s="269"/>
      <c r="AL510" s="269"/>
      <c r="AM510" s="269"/>
      <c r="AN510" s="269"/>
      <c r="AO510" s="269"/>
    </row>
    <row r="511" spans="24:41" ht="8.4499999999999993" hidden="1" customHeight="1">
      <c r="X511" s="269"/>
      <c r="Y511" s="269"/>
      <c r="Z511" s="269"/>
      <c r="AA511" s="269"/>
      <c r="AB511" s="269"/>
      <c r="AC511" s="269"/>
      <c r="AD511" s="269"/>
      <c r="AE511" s="269"/>
      <c r="AF511" s="269"/>
      <c r="AG511" s="269"/>
      <c r="AH511" s="269"/>
      <c r="AI511" s="269"/>
      <c r="AJ511" s="269"/>
      <c r="AK511" s="269"/>
      <c r="AL511" s="269"/>
      <c r="AM511" s="269"/>
      <c r="AN511" s="269"/>
      <c r="AO511" s="269"/>
    </row>
    <row r="512" spans="24:41" ht="8.4499999999999993" hidden="1" customHeight="1">
      <c r="X512" s="269"/>
      <c r="Y512" s="269"/>
      <c r="Z512" s="269"/>
      <c r="AA512" s="269"/>
      <c r="AB512" s="269"/>
      <c r="AC512" s="269"/>
      <c r="AD512" s="269"/>
      <c r="AE512" s="269"/>
      <c r="AF512" s="269"/>
      <c r="AG512" s="269"/>
      <c r="AH512" s="269"/>
      <c r="AI512" s="269"/>
      <c r="AJ512" s="269"/>
      <c r="AK512" s="269"/>
      <c r="AL512" s="269"/>
      <c r="AM512" s="269"/>
      <c r="AN512" s="269"/>
      <c r="AO512" s="269"/>
    </row>
    <row r="513" spans="24:41" ht="8.4499999999999993" hidden="1" customHeight="1">
      <c r="X513" s="269"/>
      <c r="Y513" s="269"/>
      <c r="Z513" s="269"/>
      <c r="AA513" s="269"/>
      <c r="AB513" s="269"/>
      <c r="AC513" s="269"/>
      <c r="AD513" s="269"/>
      <c r="AE513" s="269"/>
      <c r="AF513" s="269"/>
      <c r="AG513" s="269"/>
      <c r="AH513" s="269"/>
      <c r="AI513" s="269"/>
      <c r="AJ513" s="269"/>
      <c r="AK513" s="269"/>
      <c r="AL513" s="269"/>
      <c r="AM513" s="269"/>
      <c r="AN513" s="269"/>
      <c r="AO513" s="269"/>
    </row>
    <row r="514" spans="24:41" ht="8.4499999999999993" hidden="1" customHeight="1">
      <c r="X514" s="269"/>
      <c r="Y514" s="269"/>
      <c r="Z514" s="269"/>
      <c r="AA514" s="269"/>
      <c r="AB514" s="269"/>
      <c r="AC514" s="269"/>
      <c r="AD514" s="269"/>
      <c r="AE514" s="269"/>
      <c r="AF514" s="269"/>
      <c r="AG514" s="269"/>
      <c r="AH514" s="269"/>
      <c r="AI514" s="269"/>
      <c r="AJ514" s="269"/>
      <c r="AK514" s="269"/>
      <c r="AL514" s="269"/>
      <c r="AM514" s="269"/>
      <c r="AN514" s="269"/>
      <c r="AO514" s="269"/>
    </row>
    <row r="515" spans="24:41" ht="8.4499999999999993" hidden="1" customHeight="1">
      <c r="X515" s="269"/>
      <c r="Y515" s="269"/>
      <c r="Z515" s="269"/>
      <c r="AA515" s="269"/>
      <c r="AB515" s="269"/>
      <c r="AC515" s="269"/>
      <c r="AD515" s="269"/>
      <c r="AE515" s="269"/>
      <c r="AF515" s="269"/>
      <c r="AG515" s="269"/>
      <c r="AH515" s="269"/>
      <c r="AI515" s="269"/>
      <c r="AJ515" s="269"/>
      <c r="AK515" s="269"/>
      <c r="AL515" s="269"/>
      <c r="AM515" s="269"/>
      <c r="AN515" s="269"/>
      <c r="AO515" s="269"/>
    </row>
    <row r="516" spans="24:41" ht="8.4499999999999993" hidden="1" customHeight="1">
      <c r="X516" s="269"/>
      <c r="Y516" s="269"/>
      <c r="Z516" s="269"/>
      <c r="AA516" s="269"/>
      <c r="AB516" s="269"/>
      <c r="AC516" s="269"/>
      <c r="AD516" s="269"/>
      <c r="AE516" s="269"/>
      <c r="AF516" s="269"/>
      <c r="AG516" s="269"/>
      <c r="AH516" s="269"/>
      <c r="AI516" s="269"/>
      <c r="AJ516" s="269"/>
      <c r="AK516" s="269"/>
      <c r="AL516" s="269"/>
      <c r="AM516" s="269"/>
      <c r="AN516" s="269"/>
      <c r="AO516" s="269"/>
    </row>
    <row r="517" spans="24:41" ht="8.4499999999999993" hidden="1" customHeight="1">
      <c r="X517" s="269"/>
      <c r="Y517" s="269"/>
      <c r="Z517" s="269"/>
      <c r="AA517" s="269"/>
      <c r="AB517" s="269"/>
      <c r="AC517" s="269"/>
      <c r="AD517" s="269"/>
      <c r="AE517" s="269"/>
      <c r="AF517" s="269"/>
      <c r="AG517" s="269"/>
      <c r="AH517" s="269"/>
      <c r="AI517" s="269"/>
      <c r="AJ517" s="269"/>
      <c r="AK517" s="269"/>
      <c r="AL517" s="269"/>
      <c r="AM517" s="269"/>
      <c r="AN517" s="269"/>
      <c r="AO517" s="269"/>
    </row>
    <row r="518" spans="24:41" ht="8.4499999999999993" hidden="1" customHeight="1">
      <c r="X518" s="269"/>
      <c r="Y518" s="269"/>
      <c r="Z518" s="269"/>
      <c r="AA518" s="269"/>
      <c r="AB518" s="269"/>
      <c r="AC518" s="269"/>
      <c r="AD518" s="269"/>
      <c r="AE518" s="269"/>
      <c r="AF518" s="269"/>
      <c r="AG518" s="269"/>
      <c r="AH518" s="269"/>
      <c r="AI518" s="269"/>
      <c r="AJ518" s="269"/>
      <c r="AK518" s="269"/>
      <c r="AL518" s="269"/>
      <c r="AM518" s="269"/>
      <c r="AN518" s="269"/>
      <c r="AO518" s="269"/>
    </row>
    <row r="519" spans="24:41" ht="8.4499999999999993" hidden="1" customHeight="1">
      <c r="X519" s="269"/>
      <c r="Y519" s="269"/>
      <c r="Z519" s="269"/>
      <c r="AA519" s="269"/>
      <c r="AB519" s="269"/>
      <c r="AC519" s="269"/>
      <c r="AD519" s="269"/>
      <c r="AE519" s="269"/>
      <c r="AF519" s="269"/>
      <c r="AG519" s="269"/>
      <c r="AH519" s="269"/>
      <c r="AI519" s="269"/>
      <c r="AJ519" s="269"/>
      <c r="AK519" s="269"/>
      <c r="AL519" s="269"/>
      <c r="AM519" s="269"/>
      <c r="AN519" s="269"/>
      <c r="AO519" s="269"/>
    </row>
    <row r="520" spans="24:41" ht="8.4499999999999993" hidden="1" customHeight="1">
      <c r="X520" s="269"/>
      <c r="Y520" s="269"/>
      <c r="Z520" s="269"/>
      <c r="AA520" s="269"/>
      <c r="AB520" s="269"/>
      <c r="AC520" s="269"/>
      <c r="AD520" s="269"/>
      <c r="AE520" s="269"/>
      <c r="AF520" s="269"/>
      <c r="AG520" s="269"/>
      <c r="AH520" s="269"/>
      <c r="AI520" s="269"/>
      <c r="AJ520" s="269"/>
      <c r="AK520" s="269"/>
      <c r="AL520" s="269"/>
      <c r="AM520" s="269"/>
      <c r="AN520" s="269"/>
      <c r="AO520" s="269"/>
    </row>
    <row r="521" spans="24:41" ht="8.4499999999999993" hidden="1" customHeight="1">
      <c r="X521" s="269"/>
      <c r="Y521" s="269"/>
      <c r="Z521" s="269"/>
      <c r="AA521" s="269"/>
      <c r="AB521" s="269"/>
      <c r="AC521" s="269"/>
      <c r="AD521" s="269"/>
      <c r="AE521" s="269"/>
      <c r="AF521" s="269"/>
      <c r="AG521" s="269"/>
      <c r="AH521" s="269"/>
      <c r="AI521" s="269"/>
      <c r="AJ521" s="269"/>
      <c r="AK521" s="269"/>
      <c r="AL521" s="269"/>
      <c r="AM521" s="269"/>
      <c r="AN521" s="269"/>
      <c r="AO521" s="269"/>
    </row>
    <row r="522" spans="24:41" ht="8.4499999999999993" hidden="1" customHeight="1">
      <c r="X522" s="269"/>
      <c r="Y522" s="269"/>
      <c r="Z522" s="269"/>
      <c r="AA522" s="269"/>
      <c r="AB522" s="269"/>
      <c r="AC522" s="269"/>
      <c r="AD522" s="269"/>
      <c r="AE522" s="269"/>
      <c r="AF522" s="269"/>
      <c r="AG522" s="269"/>
      <c r="AH522" s="269"/>
      <c r="AI522" s="269"/>
      <c r="AJ522" s="269"/>
      <c r="AK522" s="269"/>
      <c r="AL522" s="269"/>
      <c r="AM522" s="269"/>
      <c r="AN522" s="269"/>
      <c r="AO522" s="269"/>
    </row>
    <row r="523" spans="24:41" ht="8.4499999999999993" hidden="1" customHeight="1">
      <c r="X523" s="269"/>
      <c r="Y523" s="269"/>
      <c r="Z523" s="269"/>
      <c r="AA523" s="269"/>
      <c r="AB523" s="269"/>
      <c r="AC523" s="269"/>
      <c r="AD523" s="269"/>
      <c r="AE523" s="269"/>
      <c r="AF523" s="269"/>
      <c r="AG523" s="269"/>
      <c r="AH523" s="269"/>
      <c r="AI523" s="269"/>
      <c r="AJ523" s="269"/>
      <c r="AK523" s="269"/>
      <c r="AL523" s="269"/>
      <c r="AM523" s="269"/>
      <c r="AN523" s="269"/>
      <c r="AO523" s="269"/>
    </row>
    <row r="524" spans="24:41" ht="8.4499999999999993" hidden="1" customHeight="1">
      <c r="X524" s="269"/>
      <c r="Y524" s="269"/>
      <c r="Z524" s="269"/>
      <c r="AA524" s="269"/>
      <c r="AB524" s="269"/>
      <c r="AC524" s="269"/>
      <c r="AD524" s="269"/>
      <c r="AE524" s="269"/>
      <c r="AF524" s="269"/>
      <c r="AG524" s="269"/>
      <c r="AH524" s="269"/>
      <c r="AI524" s="269"/>
      <c r="AJ524" s="269"/>
      <c r="AK524" s="269"/>
      <c r="AL524" s="269"/>
      <c r="AM524" s="269"/>
      <c r="AN524" s="269"/>
      <c r="AO524" s="269"/>
    </row>
    <row r="525" spans="24:41" ht="8.4499999999999993" hidden="1" customHeight="1">
      <c r="X525" s="269"/>
      <c r="Y525" s="269"/>
      <c r="Z525" s="269"/>
      <c r="AA525" s="269"/>
      <c r="AB525" s="269"/>
      <c r="AC525" s="269"/>
      <c r="AD525" s="269"/>
      <c r="AE525" s="269"/>
      <c r="AF525" s="269"/>
      <c r="AG525" s="269"/>
      <c r="AH525" s="269"/>
      <c r="AI525" s="269"/>
      <c r="AJ525" s="269"/>
      <c r="AK525" s="269"/>
      <c r="AL525" s="269"/>
      <c r="AM525" s="269"/>
      <c r="AN525" s="269"/>
      <c r="AO525" s="269"/>
    </row>
    <row r="526" spans="24:41" ht="8.4499999999999993" hidden="1" customHeight="1">
      <c r="X526" s="269"/>
      <c r="Y526" s="269"/>
      <c r="Z526" s="269"/>
      <c r="AA526" s="269"/>
      <c r="AB526" s="269"/>
      <c r="AC526" s="269"/>
      <c r="AD526" s="269"/>
      <c r="AE526" s="269"/>
      <c r="AF526" s="269"/>
      <c r="AG526" s="269"/>
      <c r="AH526" s="269"/>
      <c r="AI526" s="269"/>
      <c r="AJ526" s="269"/>
      <c r="AK526" s="269"/>
      <c r="AL526" s="269"/>
      <c r="AM526" s="269"/>
      <c r="AN526" s="269"/>
      <c r="AO526" s="269"/>
    </row>
    <row r="527" spans="24:41" ht="8.4499999999999993" hidden="1" customHeight="1">
      <c r="X527" s="269"/>
      <c r="Y527" s="269"/>
      <c r="Z527" s="269"/>
      <c r="AA527" s="269"/>
      <c r="AB527" s="269"/>
      <c r="AC527" s="269"/>
      <c r="AD527" s="269"/>
      <c r="AE527" s="269"/>
      <c r="AF527" s="269"/>
      <c r="AG527" s="269"/>
      <c r="AH527" s="269"/>
      <c r="AI527" s="269"/>
      <c r="AJ527" s="269"/>
      <c r="AK527" s="269"/>
      <c r="AL527" s="269"/>
      <c r="AM527" s="269"/>
      <c r="AN527" s="269"/>
      <c r="AO527" s="269"/>
    </row>
    <row r="528" spans="24:41" ht="8.4499999999999993" hidden="1" customHeight="1">
      <c r="X528" s="269"/>
      <c r="Y528" s="269"/>
      <c r="Z528" s="269"/>
      <c r="AA528" s="269"/>
      <c r="AB528" s="269"/>
      <c r="AC528" s="269"/>
      <c r="AD528" s="269"/>
      <c r="AE528" s="269"/>
      <c r="AF528" s="269"/>
      <c r="AG528" s="269"/>
      <c r="AH528" s="269"/>
      <c r="AI528" s="269"/>
      <c r="AJ528" s="269"/>
      <c r="AK528" s="269"/>
      <c r="AL528" s="269"/>
      <c r="AM528" s="269"/>
      <c r="AN528" s="269"/>
      <c r="AO528" s="269"/>
    </row>
    <row r="529" spans="24:41" ht="8.4499999999999993" hidden="1" customHeight="1">
      <c r="X529" s="269"/>
      <c r="Y529" s="269"/>
      <c r="Z529" s="269"/>
      <c r="AA529" s="269"/>
      <c r="AB529" s="269"/>
      <c r="AC529" s="269"/>
      <c r="AD529" s="269"/>
      <c r="AE529" s="269"/>
      <c r="AF529" s="269"/>
      <c r="AG529" s="269"/>
      <c r="AH529" s="269"/>
      <c r="AI529" s="269"/>
      <c r="AJ529" s="269"/>
      <c r="AK529" s="269"/>
      <c r="AL529" s="269"/>
      <c r="AM529" s="269"/>
      <c r="AN529" s="269"/>
      <c r="AO529" s="269"/>
    </row>
    <row r="530" spans="24:41" ht="8.4499999999999993" hidden="1" customHeight="1">
      <c r="X530" s="269"/>
      <c r="Y530" s="269"/>
      <c r="Z530" s="269"/>
      <c r="AA530" s="269"/>
      <c r="AB530" s="269"/>
      <c r="AC530" s="269"/>
      <c r="AD530" s="269"/>
      <c r="AE530" s="269"/>
      <c r="AF530" s="269"/>
      <c r="AG530" s="269"/>
      <c r="AH530" s="269"/>
      <c r="AI530" s="269"/>
      <c r="AJ530" s="269"/>
      <c r="AK530" s="269"/>
      <c r="AL530" s="269"/>
      <c r="AM530" s="269"/>
      <c r="AN530" s="269"/>
      <c r="AO530" s="269"/>
    </row>
    <row r="531" spans="24:41" ht="8.4499999999999993" hidden="1" customHeight="1">
      <c r="X531" s="259"/>
      <c r="Y531" s="259"/>
      <c r="Z531" s="259"/>
      <c r="AA531" s="259"/>
      <c r="AB531" s="259"/>
      <c r="AC531" s="259"/>
      <c r="AD531" s="259"/>
      <c r="AE531" s="259"/>
      <c r="AF531" s="259"/>
      <c r="AG531" s="259"/>
      <c r="AH531" s="259"/>
      <c r="AI531" s="259"/>
      <c r="AJ531" s="259"/>
      <c r="AK531" s="259"/>
      <c r="AL531" s="259"/>
      <c r="AM531" s="259"/>
      <c r="AN531" s="259"/>
      <c r="AO531" s="259"/>
    </row>
    <row r="532" spans="24:41" ht="8.4499999999999993" hidden="1" customHeight="1">
      <c r="X532" s="259"/>
      <c r="Y532" s="259"/>
      <c r="Z532" s="259"/>
      <c r="AA532" s="259"/>
      <c r="AB532" s="259"/>
      <c r="AC532" s="259"/>
      <c r="AD532" s="259"/>
      <c r="AE532" s="259"/>
      <c r="AF532" s="259"/>
      <c r="AG532" s="259"/>
      <c r="AH532" s="259"/>
      <c r="AI532" s="259"/>
      <c r="AJ532" s="259"/>
      <c r="AK532" s="259"/>
      <c r="AL532" s="259"/>
      <c r="AM532" s="259"/>
      <c r="AN532" s="259"/>
      <c r="AO532" s="259"/>
    </row>
    <row r="533" spans="24:41" ht="8.4499999999999993" hidden="1" customHeight="1">
      <c r="X533" s="269"/>
      <c r="Y533" s="269"/>
      <c r="Z533" s="269"/>
      <c r="AA533" s="269"/>
      <c r="AB533" s="269"/>
      <c r="AC533" s="269"/>
      <c r="AD533" s="269"/>
      <c r="AE533" s="269"/>
      <c r="AF533" s="269"/>
      <c r="AG533" s="269"/>
      <c r="AH533" s="269"/>
      <c r="AI533" s="269"/>
      <c r="AJ533" s="269"/>
      <c r="AK533" s="269"/>
      <c r="AL533" s="269"/>
      <c r="AM533" s="269"/>
      <c r="AN533" s="269"/>
      <c r="AO533" s="269"/>
    </row>
    <row r="534" spans="24:41" ht="8.4499999999999993" hidden="1" customHeight="1">
      <c r="X534" s="269"/>
      <c r="Y534" s="269"/>
      <c r="Z534" s="269"/>
      <c r="AA534" s="269"/>
      <c r="AB534" s="269"/>
      <c r="AC534" s="269"/>
      <c r="AD534" s="269"/>
      <c r="AE534" s="269"/>
      <c r="AF534" s="269"/>
      <c r="AG534" s="269"/>
      <c r="AH534" s="269"/>
      <c r="AI534" s="269"/>
      <c r="AJ534" s="269"/>
      <c r="AK534" s="269"/>
      <c r="AL534" s="269"/>
      <c r="AM534" s="269"/>
      <c r="AN534" s="269"/>
      <c r="AO534" s="269"/>
    </row>
    <row r="535" spans="24:41" ht="8.4499999999999993" hidden="1" customHeight="1">
      <c r="X535" s="269"/>
      <c r="Y535" s="269"/>
      <c r="Z535" s="269"/>
      <c r="AA535" s="269"/>
      <c r="AB535" s="269"/>
      <c r="AC535" s="269"/>
      <c r="AD535" s="269"/>
      <c r="AE535" s="269"/>
      <c r="AF535" s="269"/>
      <c r="AG535" s="269"/>
      <c r="AH535" s="269"/>
      <c r="AI535" s="269"/>
      <c r="AJ535" s="269"/>
      <c r="AK535" s="269"/>
      <c r="AL535" s="269"/>
      <c r="AM535" s="269"/>
      <c r="AN535" s="269"/>
      <c r="AO535" s="269"/>
    </row>
    <row r="536" spans="24:41" ht="8.4499999999999993" hidden="1" customHeight="1">
      <c r="X536" s="269"/>
      <c r="Y536" s="269"/>
      <c r="Z536" s="269"/>
      <c r="AA536" s="269"/>
      <c r="AB536" s="269"/>
      <c r="AC536" s="269"/>
      <c r="AD536" s="269"/>
      <c r="AE536" s="269"/>
      <c r="AF536" s="269"/>
      <c r="AG536" s="269"/>
      <c r="AH536" s="269"/>
      <c r="AI536" s="269"/>
      <c r="AJ536" s="269"/>
      <c r="AK536" s="269"/>
      <c r="AL536" s="269"/>
      <c r="AM536" s="269"/>
      <c r="AN536" s="269"/>
      <c r="AO536" s="269"/>
    </row>
    <row r="537" spans="24:41" ht="8.4499999999999993" hidden="1" customHeight="1">
      <c r="X537" s="269"/>
      <c r="Y537" s="269"/>
      <c r="Z537" s="269"/>
      <c r="AA537" s="269"/>
      <c r="AB537" s="269"/>
      <c r="AC537" s="269"/>
      <c r="AD537" s="269"/>
      <c r="AE537" s="269"/>
      <c r="AF537" s="269"/>
      <c r="AG537" s="269"/>
      <c r="AH537" s="269"/>
      <c r="AI537" s="269"/>
      <c r="AJ537" s="269"/>
      <c r="AK537" s="269"/>
      <c r="AL537" s="269"/>
      <c r="AM537" s="269"/>
      <c r="AN537" s="269"/>
      <c r="AO537" s="269"/>
    </row>
    <row r="538" spans="24:41" ht="8.4499999999999993" hidden="1" customHeight="1">
      <c r="X538" s="269"/>
      <c r="Y538" s="269"/>
      <c r="Z538" s="269"/>
      <c r="AA538" s="269"/>
      <c r="AB538" s="269"/>
      <c r="AC538" s="269"/>
      <c r="AD538" s="269"/>
      <c r="AE538" s="269"/>
      <c r="AF538" s="269"/>
      <c r="AG538" s="269"/>
      <c r="AH538" s="269"/>
      <c r="AI538" s="269"/>
      <c r="AJ538" s="269"/>
      <c r="AK538" s="269"/>
      <c r="AL538" s="269"/>
      <c r="AM538" s="269"/>
      <c r="AN538" s="269"/>
      <c r="AO538" s="269"/>
    </row>
    <row r="539" spans="24:41" ht="8.4499999999999993" hidden="1" customHeight="1">
      <c r="X539" s="269"/>
      <c r="Y539" s="269"/>
      <c r="Z539" s="269"/>
      <c r="AA539" s="269"/>
      <c r="AB539" s="269"/>
      <c r="AC539" s="269"/>
      <c r="AD539" s="269"/>
      <c r="AE539" s="269"/>
      <c r="AF539" s="269"/>
      <c r="AG539" s="269"/>
      <c r="AH539" s="269"/>
      <c r="AI539" s="269"/>
      <c r="AJ539" s="269"/>
      <c r="AK539" s="269"/>
      <c r="AL539" s="269"/>
      <c r="AM539" s="269"/>
      <c r="AN539" s="269"/>
      <c r="AO539" s="269"/>
    </row>
    <row r="540" spans="24:41" ht="8.4499999999999993" hidden="1" customHeight="1">
      <c r="X540" s="269"/>
      <c r="Y540" s="269"/>
      <c r="Z540" s="269"/>
      <c r="AA540" s="269"/>
      <c r="AB540" s="269"/>
      <c r="AC540" s="269"/>
      <c r="AD540" s="269"/>
      <c r="AE540" s="269"/>
      <c r="AF540" s="269"/>
      <c r="AG540" s="269"/>
      <c r="AH540" s="269"/>
      <c r="AI540" s="269"/>
      <c r="AJ540" s="269"/>
      <c r="AK540" s="269"/>
      <c r="AL540" s="269"/>
      <c r="AM540" s="269"/>
      <c r="AN540" s="269"/>
      <c r="AO540" s="269"/>
    </row>
    <row r="541" spans="24:41" ht="8.4499999999999993" hidden="1" customHeight="1">
      <c r="X541" s="269"/>
      <c r="Y541" s="269"/>
      <c r="Z541" s="269"/>
      <c r="AA541" s="269"/>
      <c r="AB541" s="269"/>
      <c r="AC541" s="269"/>
      <c r="AD541" s="269"/>
      <c r="AE541" s="269"/>
      <c r="AF541" s="269"/>
      <c r="AG541" s="269"/>
      <c r="AH541" s="269"/>
      <c r="AI541" s="269"/>
      <c r="AJ541" s="269"/>
      <c r="AK541" s="269"/>
      <c r="AL541" s="269"/>
      <c r="AM541" s="269"/>
      <c r="AN541" s="269"/>
      <c r="AO541" s="269"/>
    </row>
    <row r="542" spans="24:41" ht="8.4499999999999993" hidden="1" customHeight="1">
      <c r="X542" s="269"/>
      <c r="Y542" s="269"/>
      <c r="Z542" s="269"/>
      <c r="AA542" s="269"/>
      <c r="AB542" s="269"/>
      <c r="AC542" s="269"/>
      <c r="AD542" s="269"/>
      <c r="AE542" s="269"/>
      <c r="AF542" s="269"/>
      <c r="AG542" s="269"/>
      <c r="AH542" s="269"/>
      <c r="AI542" s="269"/>
      <c r="AJ542" s="269"/>
      <c r="AK542" s="269"/>
      <c r="AL542" s="269"/>
      <c r="AM542" s="269"/>
      <c r="AN542" s="269"/>
      <c r="AO542" s="269"/>
    </row>
    <row r="543" spans="24:41" ht="8.4499999999999993" hidden="1" customHeight="1">
      <c r="X543" s="269"/>
      <c r="Y543" s="269"/>
      <c r="Z543" s="269"/>
      <c r="AA543" s="269"/>
      <c r="AB543" s="269"/>
      <c r="AC543" s="269"/>
      <c r="AD543" s="269"/>
      <c r="AE543" s="269"/>
      <c r="AF543" s="269"/>
      <c r="AG543" s="269"/>
      <c r="AH543" s="269"/>
      <c r="AI543" s="269"/>
      <c r="AJ543" s="269"/>
      <c r="AK543" s="269"/>
      <c r="AL543" s="269"/>
      <c r="AM543" s="269"/>
      <c r="AN543" s="269"/>
      <c r="AO543" s="269"/>
    </row>
    <row r="544" spans="24:41" ht="8.4499999999999993" hidden="1" customHeight="1">
      <c r="X544" s="269"/>
      <c r="Y544" s="269"/>
      <c r="Z544" s="269"/>
      <c r="AA544" s="269"/>
      <c r="AB544" s="269"/>
      <c r="AC544" s="269"/>
      <c r="AD544" s="269"/>
      <c r="AE544" s="269"/>
      <c r="AF544" s="269"/>
      <c r="AG544" s="269"/>
      <c r="AH544" s="269"/>
      <c r="AI544" s="269"/>
      <c r="AJ544" s="269"/>
      <c r="AK544" s="269"/>
      <c r="AL544" s="269"/>
      <c r="AM544" s="269"/>
      <c r="AN544" s="269"/>
      <c r="AO544" s="269"/>
    </row>
    <row r="545" spans="24:41" ht="8.4499999999999993" hidden="1" customHeight="1">
      <c r="X545" s="269"/>
      <c r="Y545" s="269"/>
      <c r="Z545" s="269"/>
      <c r="AA545" s="269"/>
      <c r="AB545" s="269"/>
      <c r="AC545" s="269"/>
      <c r="AD545" s="269"/>
      <c r="AE545" s="269"/>
      <c r="AF545" s="269"/>
      <c r="AG545" s="269"/>
      <c r="AH545" s="269"/>
      <c r="AI545" s="269"/>
      <c r="AJ545" s="269"/>
      <c r="AK545" s="269"/>
      <c r="AL545" s="269"/>
      <c r="AM545" s="269"/>
      <c r="AN545" s="269"/>
      <c r="AO545" s="269"/>
    </row>
    <row r="546" spans="24:41" ht="8.4499999999999993" hidden="1" customHeight="1">
      <c r="X546" s="269"/>
      <c r="Y546" s="269"/>
      <c r="Z546" s="269"/>
      <c r="AA546" s="269"/>
      <c r="AB546" s="269"/>
      <c r="AC546" s="269"/>
      <c r="AD546" s="269"/>
      <c r="AE546" s="269"/>
      <c r="AF546" s="269"/>
      <c r="AG546" s="269"/>
      <c r="AH546" s="269"/>
      <c r="AI546" s="269"/>
      <c r="AJ546" s="269"/>
      <c r="AK546" s="269"/>
      <c r="AL546" s="269"/>
      <c r="AM546" s="269"/>
      <c r="AN546" s="269"/>
      <c r="AO546" s="269"/>
    </row>
    <row r="547" spans="24:41" ht="8.4499999999999993" hidden="1" customHeight="1">
      <c r="X547" s="269"/>
      <c r="Y547" s="269"/>
      <c r="Z547" s="269"/>
      <c r="AA547" s="269"/>
      <c r="AB547" s="269"/>
      <c r="AC547" s="269"/>
      <c r="AD547" s="269"/>
      <c r="AE547" s="269"/>
      <c r="AF547" s="269"/>
      <c r="AG547" s="269"/>
      <c r="AH547" s="269"/>
      <c r="AI547" s="269"/>
      <c r="AJ547" s="269"/>
      <c r="AK547" s="269"/>
      <c r="AL547" s="269"/>
      <c r="AM547" s="269"/>
      <c r="AN547" s="269"/>
      <c r="AO547" s="269"/>
    </row>
    <row r="548" spans="24:41" ht="8.4499999999999993" hidden="1" customHeight="1">
      <c r="X548" s="269"/>
      <c r="Y548" s="269"/>
      <c r="Z548" s="269"/>
      <c r="AA548" s="269"/>
      <c r="AB548" s="269"/>
      <c r="AC548" s="269"/>
      <c r="AD548" s="269"/>
      <c r="AE548" s="269"/>
      <c r="AF548" s="269"/>
      <c r="AG548" s="269"/>
      <c r="AH548" s="269"/>
      <c r="AI548" s="269"/>
      <c r="AJ548" s="269"/>
      <c r="AK548" s="269"/>
      <c r="AL548" s="269"/>
      <c r="AM548" s="269"/>
      <c r="AN548" s="269"/>
      <c r="AO548" s="269"/>
    </row>
    <row r="549" spans="24:41" ht="8.4499999999999993" hidden="1" customHeight="1">
      <c r="X549" s="269"/>
      <c r="Y549" s="269"/>
      <c r="Z549" s="269"/>
      <c r="AA549" s="269"/>
      <c r="AB549" s="269"/>
      <c r="AC549" s="269"/>
      <c r="AD549" s="269"/>
      <c r="AE549" s="269"/>
      <c r="AF549" s="269"/>
      <c r="AG549" s="269"/>
      <c r="AH549" s="269"/>
      <c r="AI549" s="269"/>
      <c r="AJ549" s="269"/>
      <c r="AK549" s="269"/>
      <c r="AL549" s="269"/>
      <c r="AM549" s="269"/>
      <c r="AN549" s="269"/>
      <c r="AO549" s="269"/>
    </row>
    <row r="550" spans="24:41" ht="8.4499999999999993" hidden="1" customHeight="1">
      <c r="X550" s="269"/>
      <c r="Y550" s="269"/>
      <c r="Z550" s="269"/>
      <c r="AA550" s="269"/>
      <c r="AB550" s="269"/>
      <c r="AC550" s="269"/>
      <c r="AD550" s="269"/>
      <c r="AE550" s="269"/>
      <c r="AF550" s="269"/>
      <c r="AG550" s="269"/>
      <c r="AH550" s="269"/>
      <c r="AI550" s="269"/>
      <c r="AJ550" s="269"/>
      <c r="AK550" s="269"/>
      <c r="AL550" s="269"/>
      <c r="AM550" s="269"/>
      <c r="AN550" s="269"/>
      <c r="AO550" s="269"/>
    </row>
    <row r="551" spans="24:41" ht="8.4499999999999993" hidden="1" customHeight="1">
      <c r="X551" s="269"/>
      <c r="Y551" s="269"/>
      <c r="Z551" s="269"/>
      <c r="AA551" s="269"/>
      <c r="AB551" s="269"/>
      <c r="AC551" s="269"/>
      <c r="AD551" s="269"/>
      <c r="AE551" s="269"/>
      <c r="AF551" s="269"/>
      <c r="AG551" s="269"/>
      <c r="AH551" s="269"/>
      <c r="AI551" s="269"/>
      <c r="AJ551" s="269"/>
      <c r="AK551" s="269"/>
      <c r="AL551" s="269"/>
      <c r="AM551" s="269"/>
      <c r="AN551" s="269"/>
      <c r="AO551" s="269"/>
    </row>
    <row r="552" spans="24:41" ht="8.4499999999999993" hidden="1" customHeight="1">
      <c r="X552" s="269"/>
      <c r="Y552" s="269"/>
      <c r="Z552" s="269"/>
      <c r="AA552" s="269"/>
      <c r="AB552" s="269"/>
      <c r="AC552" s="269"/>
      <c r="AD552" s="269"/>
      <c r="AE552" s="269"/>
      <c r="AF552" s="269"/>
      <c r="AG552" s="269"/>
      <c r="AH552" s="269"/>
      <c r="AI552" s="269"/>
      <c r="AJ552" s="269"/>
      <c r="AK552" s="269"/>
      <c r="AL552" s="269"/>
      <c r="AM552" s="269"/>
      <c r="AN552" s="269"/>
      <c r="AO552" s="269"/>
    </row>
    <row r="553" spans="24:41" ht="8.4499999999999993" hidden="1" customHeight="1">
      <c r="X553" s="269"/>
      <c r="Y553" s="269"/>
      <c r="Z553" s="269"/>
      <c r="AA553" s="269"/>
      <c r="AB553" s="269"/>
      <c r="AC553" s="269"/>
      <c r="AD553" s="269"/>
      <c r="AE553" s="269"/>
      <c r="AF553" s="269"/>
      <c r="AG553" s="269"/>
      <c r="AH553" s="269"/>
      <c r="AI553" s="269"/>
      <c r="AJ553" s="269"/>
      <c r="AK553" s="269"/>
      <c r="AL553" s="269"/>
      <c r="AM553" s="269"/>
      <c r="AN553" s="269"/>
      <c r="AO553" s="269"/>
    </row>
    <row r="554" spans="24:41" ht="8.4499999999999993" hidden="1" customHeight="1">
      <c r="X554" s="269"/>
      <c r="Y554" s="269"/>
      <c r="Z554" s="269"/>
      <c r="AA554" s="269"/>
      <c r="AB554" s="269"/>
      <c r="AC554" s="269"/>
      <c r="AD554" s="269"/>
      <c r="AE554" s="269"/>
      <c r="AF554" s="269"/>
      <c r="AG554" s="269"/>
      <c r="AH554" s="269"/>
      <c r="AI554" s="269"/>
      <c r="AJ554" s="269"/>
      <c r="AK554" s="269"/>
      <c r="AL554" s="269"/>
      <c r="AM554" s="269"/>
      <c r="AN554" s="269"/>
      <c r="AO554" s="269"/>
    </row>
    <row r="555" spans="24:41" ht="8.4499999999999993" hidden="1" customHeight="1">
      <c r="X555" s="269"/>
      <c r="Y555" s="269"/>
      <c r="Z555" s="269"/>
      <c r="AA555" s="269"/>
      <c r="AB555" s="269"/>
      <c r="AC555" s="269"/>
      <c r="AD555" s="269"/>
      <c r="AE555" s="269"/>
      <c r="AF555" s="269"/>
      <c r="AG555" s="269"/>
      <c r="AH555" s="269"/>
      <c r="AI555" s="269"/>
      <c r="AJ555" s="269"/>
      <c r="AK555" s="269"/>
      <c r="AL555" s="269"/>
      <c r="AM555" s="269"/>
      <c r="AN555" s="269"/>
      <c r="AO555" s="269"/>
    </row>
    <row r="556" spans="24:41" ht="8.4499999999999993" hidden="1" customHeight="1">
      <c r="X556" s="269"/>
      <c r="Y556" s="269"/>
      <c r="Z556" s="269"/>
      <c r="AA556" s="269"/>
      <c r="AB556" s="269"/>
      <c r="AC556" s="269"/>
      <c r="AD556" s="269"/>
      <c r="AE556" s="269"/>
      <c r="AF556" s="269"/>
      <c r="AG556" s="269"/>
      <c r="AH556" s="269"/>
      <c r="AI556" s="269"/>
      <c r="AJ556" s="269"/>
      <c r="AK556" s="269"/>
      <c r="AL556" s="269"/>
      <c r="AM556" s="269"/>
      <c r="AN556" s="269"/>
      <c r="AO556" s="269"/>
    </row>
    <row r="557" spans="24:41" ht="8.4499999999999993" hidden="1" customHeight="1">
      <c r="X557" s="269"/>
      <c r="Y557" s="269"/>
      <c r="Z557" s="269"/>
      <c r="AA557" s="269"/>
      <c r="AB557" s="269"/>
      <c r="AC557" s="269"/>
      <c r="AD557" s="269"/>
      <c r="AE557" s="269"/>
      <c r="AF557" s="269"/>
      <c r="AG557" s="269"/>
      <c r="AH557" s="269"/>
      <c r="AI557" s="269"/>
      <c r="AJ557" s="269"/>
      <c r="AK557" s="269"/>
      <c r="AL557" s="269"/>
      <c r="AM557" s="269"/>
      <c r="AN557" s="269"/>
      <c r="AO557" s="269"/>
    </row>
    <row r="558" spans="24:41" ht="8.4499999999999993" hidden="1" customHeight="1">
      <c r="X558" s="269"/>
      <c r="Y558" s="269"/>
      <c r="Z558" s="269"/>
      <c r="AA558" s="269"/>
      <c r="AB558" s="269"/>
      <c r="AC558" s="269"/>
      <c r="AD558" s="269"/>
      <c r="AE558" s="269"/>
      <c r="AF558" s="269"/>
      <c r="AG558" s="269"/>
      <c r="AH558" s="269"/>
      <c r="AI558" s="269"/>
      <c r="AJ558" s="269"/>
      <c r="AK558" s="269"/>
      <c r="AL558" s="269"/>
      <c r="AM558" s="269"/>
      <c r="AN558" s="269"/>
      <c r="AO558" s="269"/>
    </row>
    <row r="559" spans="24:41" ht="8.4499999999999993" hidden="1" customHeight="1">
      <c r="X559" s="269"/>
      <c r="Y559" s="269"/>
      <c r="Z559" s="269"/>
      <c r="AA559" s="269"/>
      <c r="AB559" s="269"/>
      <c r="AC559" s="269"/>
      <c r="AD559" s="269"/>
      <c r="AE559" s="269"/>
      <c r="AF559" s="269"/>
      <c r="AG559" s="269"/>
      <c r="AH559" s="269"/>
      <c r="AI559" s="269"/>
      <c r="AJ559" s="269"/>
      <c r="AK559" s="269"/>
      <c r="AL559" s="269"/>
      <c r="AM559" s="269"/>
      <c r="AN559" s="269"/>
      <c r="AO559" s="269"/>
    </row>
    <row r="560" spans="24:41" ht="8.4499999999999993" hidden="1" customHeight="1">
      <c r="X560" s="269"/>
      <c r="Y560" s="269"/>
      <c r="Z560" s="269"/>
      <c r="AA560" s="269"/>
      <c r="AB560" s="269"/>
      <c r="AC560" s="269"/>
      <c r="AD560" s="269"/>
      <c r="AE560" s="269"/>
      <c r="AF560" s="269"/>
      <c r="AG560" s="269"/>
      <c r="AH560" s="269"/>
      <c r="AI560" s="269"/>
      <c r="AJ560" s="269"/>
      <c r="AK560" s="269"/>
      <c r="AL560" s="269"/>
      <c r="AM560" s="269"/>
      <c r="AN560" s="269"/>
      <c r="AO560" s="269"/>
    </row>
    <row r="561" spans="24:41" ht="8.4499999999999993" hidden="1" customHeight="1">
      <c r="X561" s="269"/>
      <c r="Y561" s="269"/>
      <c r="Z561" s="269"/>
      <c r="AA561" s="269"/>
      <c r="AB561" s="269"/>
      <c r="AC561" s="269"/>
      <c r="AD561" s="269"/>
      <c r="AE561" s="269"/>
      <c r="AF561" s="269"/>
      <c r="AG561" s="269"/>
      <c r="AH561" s="269"/>
      <c r="AI561" s="269"/>
      <c r="AJ561" s="269"/>
      <c r="AK561" s="269"/>
      <c r="AL561" s="269"/>
      <c r="AM561" s="269"/>
      <c r="AN561" s="269"/>
      <c r="AO561" s="269"/>
    </row>
    <row r="562" spans="24:41" ht="8.4499999999999993" hidden="1" customHeight="1">
      <c r="X562" s="269"/>
      <c r="Y562" s="269"/>
      <c r="Z562" s="269"/>
      <c r="AA562" s="269"/>
      <c r="AB562" s="269"/>
      <c r="AC562" s="269"/>
      <c r="AD562" s="269"/>
      <c r="AE562" s="269"/>
      <c r="AF562" s="269"/>
      <c r="AG562" s="269"/>
      <c r="AH562" s="269"/>
      <c r="AI562" s="269"/>
      <c r="AJ562" s="269"/>
      <c r="AK562" s="269"/>
      <c r="AL562" s="269"/>
      <c r="AM562" s="269"/>
      <c r="AN562" s="269"/>
      <c r="AO562" s="269"/>
    </row>
    <row r="563" spans="24:41" ht="8.4499999999999993" hidden="1" customHeight="1">
      <c r="X563" s="269"/>
      <c r="Y563" s="269"/>
      <c r="Z563" s="269"/>
      <c r="AA563" s="269"/>
      <c r="AB563" s="269"/>
      <c r="AC563" s="269"/>
      <c r="AD563" s="269"/>
      <c r="AE563" s="269"/>
      <c r="AF563" s="269"/>
      <c r="AG563" s="269"/>
      <c r="AH563" s="269"/>
      <c r="AI563" s="269"/>
      <c r="AJ563" s="269"/>
      <c r="AK563" s="269"/>
      <c r="AL563" s="269"/>
      <c r="AM563" s="269"/>
      <c r="AN563" s="269"/>
      <c r="AO563" s="269"/>
    </row>
    <row r="564" spans="24:41" ht="8.4499999999999993" hidden="1" customHeight="1">
      <c r="X564" s="269"/>
      <c r="Y564" s="269"/>
      <c r="Z564" s="269"/>
      <c r="AA564" s="269"/>
      <c r="AB564" s="269"/>
      <c r="AC564" s="269"/>
      <c r="AD564" s="269"/>
      <c r="AE564" s="269"/>
      <c r="AF564" s="269"/>
      <c r="AG564" s="269"/>
      <c r="AH564" s="269"/>
      <c r="AI564" s="269"/>
      <c r="AJ564" s="269"/>
      <c r="AK564" s="269"/>
      <c r="AL564" s="269"/>
      <c r="AM564" s="269"/>
      <c r="AN564" s="269"/>
      <c r="AO564" s="269"/>
    </row>
    <row r="565" spans="24:41" ht="8.4499999999999993" hidden="1" customHeight="1">
      <c r="X565" s="269"/>
      <c r="Y565" s="269"/>
      <c r="Z565" s="269"/>
      <c r="AA565" s="269"/>
      <c r="AB565" s="269"/>
      <c r="AC565" s="269"/>
      <c r="AD565" s="269"/>
      <c r="AE565" s="269"/>
      <c r="AF565" s="269"/>
      <c r="AG565" s="269"/>
      <c r="AH565" s="269"/>
      <c r="AI565" s="269"/>
      <c r="AJ565" s="269"/>
      <c r="AK565" s="269"/>
      <c r="AL565" s="269"/>
      <c r="AM565" s="269"/>
      <c r="AN565" s="269"/>
      <c r="AO565" s="269"/>
    </row>
    <row r="566" spans="24:41" ht="8.4499999999999993" hidden="1" customHeight="1">
      <c r="X566" s="269"/>
      <c r="Y566" s="269"/>
      <c r="Z566" s="269"/>
      <c r="AA566" s="269"/>
      <c r="AB566" s="269"/>
      <c r="AC566" s="269"/>
      <c r="AD566" s="269"/>
      <c r="AE566" s="269"/>
      <c r="AF566" s="269"/>
      <c r="AG566" s="269"/>
      <c r="AH566" s="269"/>
      <c r="AI566" s="269"/>
      <c r="AJ566" s="269"/>
      <c r="AK566" s="269"/>
      <c r="AL566" s="269"/>
      <c r="AM566" s="269"/>
      <c r="AN566" s="269"/>
      <c r="AO566" s="269"/>
    </row>
    <row r="567" spans="24:41" ht="8.4499999999999993" hidden="1" customHeight="1">
      <c r="X567" s="269"/>
      <c r="Y567" s="269"/>
      <c r="Z567" s="269"/>
      <c r="AA567" s="269"/>
      <c r="AB567" s="269"/>
      <c r="AC567" s="269"/>
      <c r="AD567" s="269"/>
      <c r="AE567" s="269"/>
      <c r="AF567" s="269"/>
      <c r="AG567" s="269"/>
      <c r="AH567" s="269"/>
      <c r="AI567" s="269"/>
      <c r="AJ567" s="269"/>
      <c r="AK567" s="269"/>
      <c r="AL567" s="269"/>
      <c r="AM567" s="269"/>
      <c r="AN567" s="269"/>
      <c r="AO567" s="269"/>
    </row>
    <row r="568" spans="24:41" ht="8.4499999999999993" hidden="1" customHeight="1">
      <c r="X568" s="269"/>
      <c r="Y568" s="269"/>
      <c r="Z568" s="269"/>
      <c r="AA568" s="269"/>
      <c r="AB568" s="269"/>
      <c r="AC568" s="269"/>
      <c r="AD568" s="269"/>
      <c r="AE568" s="269"/>
      <c r="AF568" s="269"/>
      <c r="AG568" s="269"/>
      <c r="AH568" s="269"/>
      <c r="AI568" s="269"/>
      <c r="AJ568" s="269"/>
      <c r="AK568" s="269"/>
      <c r="AL568" s="269"/>
      <c r="AM568" s="269"/>
      <c r="AN568" s="269"/>
      <c r="AO568" s="269"/>
    </row>
    <row r="569" spans="24:41" ht="8.4499999999999993" hidden="1" customHeight="1">
      <c r="X569" s="269"/>
      <c r="Y569" s="269"/>
      <c r="Z569" s="269"/>
      <c r="AA569" s="269"/>
      <c r="AB569" s="269"/>
      <c r="AC569" s="269"/>
      <c r="AD569" s="269"/>
      <c r="AE569" s="269"/>
      <c r="AF569" s="269"/>
      <c r="AG569" s="269"/>
      <c r="AH569" s="269"/>
      <c r="AI569" s="269"/>
      <c r="AJ569" s="269"/>
      <c r="AK569" s="269"/>
      <c r="AL569" s="269"/>
      <c r="AM569" s="269"/>
      <c r="AN569" s="269"/>
      <c r="AO569" s="269"/>
    </row>
    <row r="570" spans="24:41" ht="8.4499999999999993" hidden="1" customHeight="1">
      <c r="X570" s="269"/>
      <c r="Y570" s="269"/>
      <c r="Z570" s="269"/>
      <c r="AA570" s="269"/>
      <c r="AB570" s="269"/>
      <c r="AC570" s="269"/>
      <c r="AD570" s="269"/>
      <c r="AE570" s="269"/>
      <c r="AF570" s="269"/>
      <c r="AG570" s="269"/>
      <c r="AH570" s="269"/>
      <c r="AI570" s="269"/>
      <c r="AJ570" s="269"/>
      <c r="AK570" s="269"/>
      <c r="AL570" s="269"/>
      <c r="AM570" s="269"/>
      <c r="AN570" s="269"/>
      <c r="AO570" s="269"/>
    </row>
    <row r="571" spans="24:41" ht="8.4499999999999993" hidden="1" customHeight="1">
      <c r="X571" s="269"/>
      <c r="Y571" s="269"/>
      <c r="Z571" s="269"/>
      <c r="AA571" s="269"/>
      <c r="AB571" s="269"/>
      <c r="AC571" s="269"/>
      <c r="AD571" s="269"/>
      <c r="AE571" s="269"/>
      <c r="AF571" s="269"/>
      <c r="AG571" s="269"/>
      <c r="AH571" s="269"/>
      <c r="AI571" s="269"/>
      <c r="AJ571" s="269"/>
      <c r="AK571" s="269"/>
      <c r="AL571" s="269"/>
      <c r="AM571" s="269"/>
      <c r="AN571" s="269"/>
      <c r="AO571" s="269"/>
    </row>
    <row r="572" spans="24:41" ht="8.4499999999999993" hidden="1" customHeight="1">
      <c r="X572" s="269"/>
      <c r="Y572" s="269"/>
      <c r="Z572" s="269"/>
      <c r="AA572" s="269"/>
      <c r="AB572" s="269"/>
      <c r="AC572" s="269"/>
      <c r="AD572" s="269"/>
      <c r="AE572" s="269"/>
      <c r="AF572" s="269"/>
      <c r="AG572" s="269"/>
      <c r="AH572" s="269"/>
      <c r="AI572" s="269"/>
      <c r="AJ572" s="269"/>
      <c r="AK572" s="269"/>
      <c r="AL572" s="269"/>
      <c r="AM572" s="269"/>
      <c r="AN572" s="269"/>
      <c r="AO572" s="269"/>
    </row>
    <row r="573" spans="24:41" ht="8.4499999999999993" hidden="1" customHeight="1">
      <c r="X573" s="269"/>
      <c r="Y573" s="269"/>
      <c r="Z573" s="269"/>
      <c r="AA573" s="269"/>
      <c r="AB573" s="269"/>
      <c r="AC573" s="269"/>
      <c r="AD573" s="269"/>
      <c r="AE573" s="269"/>
      <c r="AF573" s="269"/>
      <c r="AG573" s="269"/>
      <c r="AH573" s="269"/>
      <c r="AI573" s="269"/>
      <c r="AJ573" s="269"/>
      <c r="AK573" s="269"/>
      <c r="AL573" s="269"/>
      <c r="AM573" s="269"/>
      <c r="AN573" s="269"/>
      <c r="AO573" s="269"/>
    </row>
    <row r="574" spans="24:41" ht="8.4499999999999993" hidden="1" customHeight="1">
      <c r="X574" s="269"/>
      <c r="Y574" s="269"/>
      <c r="Z574" s="269"/>
      <c r="AA574" s="269"/>
      <c r="AB574" s="269"/>
      <c r="AC574" s="269"/>
      <c r="AD574" s="269"/>
      <c r="AE574" s="269"/>
      <c r="AF574" s="269"/>
      <c r="AG574" s="269"/>
      <c r="AH574" s="269"/>
      <c r="AI574" s="269"/>
      <c r="AJ574" s="269"/>
      <c r="AK574" s="269"/>
      <c r="AL574" s="269"/>
      <c r="AM574" s="269"/>
      <c r="AN574" s="269"/>
      <c r="AO574" s="269"/>
    </row>
    <row r="575" spans="24:41" ht="8.4499999999999993" hidden="1" customHeight="1">
      <c r="X575" s="269"/>
      <c r="Y575" s="269"/>
      <c r="Z575" s="269"/>
      <c r="AA575" s="269"/>
      <c r="AB575" s="269"/>
      <c r="AC575" s="269"/>
      <c r="AD575" s="269"/>
      <c r="AE575" s="269"/>
      <c r="AF575" s="269"/>
      <c r="AG575" s="269"/>
      <c r="AH575" s="269"/>
      <c r="AI575" s="269"/>
      <c r="AJ575" s="269"/>
      <c r="AK575" s="269"/>
      <c r="AL575" s="269"/>
      <c r="AM575" s="269"/>
      <c r="AN575" s="269"/>
      <c r="AO575" s="269"/>
    </row>
    <row r="576" spans="24:41" ht="8.4499999999999993" hidden="1" customHeight="1">
      <c r="X576" s="269"/>
      <c r="Y576" s="269"/>
      <c r="Z576" s="269"/>
      <c r="AA576" s="269"/>
      <c r="AB576" s="269"/>
      <c r="AC576" s="269"/>
      <c r="AD576" s="269"/>
      <c r="AE576" s="269"/>
      <c r="AF576" s="269"/>
      <c r="AG576" s="269"/>
      <c r="AH576" s="269"/>
      <c r="AI576" s="269"/>
      <c r="AJ576" s="269"/>
      <c r="AK576" s="269"/>
      <c r="AL576" s="269"/>
      <c r="AM576" s="269"/>
      <c r="AN576" s="269"/>
      <c r="AO576" s="269"/>
    </row>
    <row r="577" spans="24:41" ht="8.4499999999999993" hidden="1" customHeight="1">
      <c r="X577" s="269"/>
      <c r="Y577" s="269"/>
      <c r="Z577" s="269"/>
      <c r="AA577" s="269"/>
      <c r="AB577" s="269"/>
      <c r="AC577" s="269"/>
      <c r="AD577" s="269"/>
      <c r="AE577" s="269"/>
      <c r="AF577" s="269"/>
      <c r="AG577" s="269"/>
      <c r="AH577" s="269"/>
      <c r="AI577" s="269"/>
      <c r="AJ577" s="269"/>
      <c r="AK577" s="269"/>
      <c r="AL577" s="269"/>
      <c r="AM577" s="269"/>
      <c r="AN577" s="269"/>
      <c r="AO577" s="269"/>
    </row>
    <row r="578" spans="24:41" ht="8.4499999999999993" hidden="1" customHeight="1">
      <c r="X578" s="269"/>
      <c r="Y578" s="269"/>
      <c r="Z578" s="269"/>
      <c r="AA578" s="269"/>
      <c r="AB578" s="269"/>
      <c r="AC578" s="269"/>
      <c r="AD578" s="269"/>
      <c r="AE578" s="269"/>
      <c r="AF578" s="269"/>
      <c r="AG578" s="269"/>
      <c r="AH578" s="269"/>
      <c r="AI578" s="269"/>
      <c r="AJ578" s="269"/>
      <c r="AK578" s="269"/>
      <c r="AL578" s="269"/>
      <c r="AM578" s="269"/>
      <c r="AN578" s="269"/>
      <c r="AO578" s="269"/>
    </row>
    <row r="579" spans="24:41" ht="8.4499999999999993" hidden="1" customHeight="1">
      <c r="X579" s="269"/>
      <c r="Y579" s="269"/>
      <c r="Z579" s="269"/>
      <c r="AA579" s="269"/>
      <c r="AB579" s="269"/>
      <c r="AC579" s="269"/>
      <c r="AD579" s="269"/>
      <c r="AE579" s="269"/>
      <c r="AF579" s="269"/>
      <c r="AG579" s="269"/>
      <c r="AH579" s="269"/>
      <c r="AI579" s="269"/>
      <c r="AJ579" s="269"/>
      <c r="AK579" s="269"/>
      <c r="AL579" s="269"/>
      <c r="AM579" s="269"/>
      <c r="AN579" s="269"/>
      <c r="AO579" s="269"/>
    </row>
    <row r="580" spans="24:41" ht="8.4499999999999993" hidden="1" customHeight="1">
      <c r="X580" s="269"/>
      <c r="Y580" s="269"/>
      <c r="Z580" s="269"/>
      <c r="AA580" s="269"/>
      <c r="AB580" s="269"/>
      <c r="AC580" s="269"/>
      <c r="AD580" s="269"/>
      <c r="AE580" s="269"/>
      <c r="AF580" s="269"/>
      <c r="AG580" s="269"/>
      <c r="AH580" s="269"/>
      <c r="AI580" s="269"/>
      <c r="AJ580" s="269"/>
      <c r="AK580" s="269"/>
      <c r="AL580" s="269"/>
      <c r="AM580" s="269"/>
      <c r="AN580" s="269"/>
      <c r="AO580" s="269"/>
    </row>
    <row r="581" spans="24:41" ht="8.4499999999999993" hidden="1" customHeight="1">
      <c r="X581" s="269"/>
      <c r="Y581" s="269"/>
      <c r="Z581" s="269"/>
      <c r="AA581" s="269"/>
      <c r="AB581" s="269"/>
      <c r="AC581" s="269"/>
      <c r="AD581" s="269"/>
      <c r="AE581" s="269"/>
      <c r="AF581" s="269"/>
      <c r="AG581" s="269"/>
      <c r="AH581" s="269"/>
      <c r="AI581" s="269"/>
      <c r="AJ581" s="269"/>
      <c r="AK581" s="269"/>
      <c r="AL581" s="269"/>
      <c r="AM581" s="269"/>
      <c r="AN581" s="269"/>
      <c r="AO581" s="269"/>
    </row>
    <row r="582" spans="24:41" ht="8.4499999999999993" hidden="1" customHeight="1">
      <c r="X582" s="269"/>
      <c r="Y582" s="269"/>
      <c r="Z582" s="269"/>
      <c r="AA582" s="269"/>
      <c r="AB582" s="269"/>
      <c r="AC582" s="269"/>
      <c r="AD582" s="269"/>
      <c r="AE582" s="269"/>
      <c r="AF582" s="269"/>
      <c r="AG582" s="269"/>
      <c r="AH582" s="269"/>
      <c r="AI582" s="269"/>
      <c r="AJ582" s="269"/>
      <c r="AK582" s="269"/>
      <c r="AL582" s="269"/>
      <c r="AM582" s="269"/>
      <c r="AN582" s="269"/>
      <c r="AO582" s="269"/>
    </row>
    <row r="583" spans="24:41" ht="8.4499999999999993" hidden="1" customHeight="1">
      <c r="X583" s="269"/>
      <c r="Y583" s="269"/>
      <c r="Z583" s="269"/>
      <c r="AA583" s="269"/>
      <c r="AB583" s="269"/>
      <c r="AC583" s="269"/>
      <c r="AD583" s="269"/>
      <c r="AE583" s="269"/>
      <c r="AF583" s="269"/>
      <c r="AG583" s="269"/>
      <c r="AH583" s="269"/>
      <c r="AI583" s="269"/>
      <c r="AJ583" s="269"/>
      <c r="AK583" s="269"/>
      <c r="AL583" s="269"/>
      <c r="AM583" s="269"/>
      <c r="AN583" s="269"/>
      <c r="AO583" s="269"/>
    </row>
    <row r="584" spans="24:41" ht="8.4499999999999993" hidden="1" customHeight="1">
      <c r="X584" s="269"/>
      <c r="Y584" s="269"/>
      <c r="Z584" s="269"/>
      <c r="AA584" s="269"/>
      <c r="AB584" s="269"/>
      <c r="AC584" s="269"/>
      <c r="AD584" s="269"/>
      <c r="AE584" s="269"/>
      <c r="AF584" s="269"/>
      <c r="AG584" s="269"/>
      <c r="AH584" s="269"/>
      <c r="AI584" s="269"/>
      <c r="AJ584" s="269"/>
      <c r="AK584" s="269"/>
      <c r="AL584" s="269"/>
      <c r="AM584" s="269"/>
      <c r="AN584" s="269"/>
      <c r="AO584" s="269"/>
    </row>
    <row r="585" spans="24:41" ht="8.4499999999999993" hidden="1" customHeight="1">
      <c r="X585" s="269"/>
      <c r="Y585" s="269"/>
      <c r="Z585" s="269"/>
      <c r="AA585" s="269"/>
      <c r="AB585" s="269"/>
      <c r="AC585" s="269"/>
      <c r="AD585" s="269"/>
      <c r="AE585" s="269"/>
      <c r="AF585" s="269"/>
      <c r="AG585" s="269"/>
      <c r="AH585" s="269"/>
      <c r="AI585" s="269"/>
      <c r="AJ585" s="269"/>
      <c r="AK585" s="269"/>
      <c r="AL585" s="269"/>
      <c r="AM585" s="269"/>
      <c r="AN585" s="269"/>
      <c r="AO585" s="269"/>
    </row>
    <row r="586" spans="24:41" ht="8.4499999999999993" hidden="1" customHeight="1">
      <c r="X586" s="269"/>
      <c r="Y586" s="269"/>
      <c r="Z586" s="269"/>
      <c r="AA586" s="269"/>
      <c r="AB586" s="269"/>
      <c r="AC586" s="269"/>
      <c r="AD586" s="269"/>
      <c r="AE586" s="269"/>
      <c r="AF586" s="269"/>
      <c r="AG586" s="269"/>
      <c r="AH586" s="269"/>
      <c r="AI586" s="269"/>
      <c r="AJ586" s="269"/>
      <c r="AK586" s="269"/>
      <c r="AL586" s="269"/>
      <c r="AM586" s="269"/>
      <c r="AN586" s="269"/>
      <c r="AO586" s="269"/>
    </row>
    <row r="587" spans="24:41" ht="8.4499999999999993" hidden="1" customHeight="1">
      <c r="X587" s="269"/>
      <c r="Y587" s="269"/>
      <c r="Z587" s="269"/>
      <c r="AA587" s="269"/>
      <c r="AB587" s="269"/>
      <c r="AC587" s="269"/>
      <c r="AD587" s="269"/>
      <c r="AE587" s="269"/>
      <c r="AF587" s="269"/>
      <c r="AG587" s="269"/>
      <c r="AH587" s="269"/>
      <c r="AI587" s="269"/>
      <c r="AJ587" s="269"/>
      <c r="AK587" s="269"/>
      <c r="AL587" s="269"/>
      <c r="AM587" s="269"/>
      <c r="AN587" s="269"/>
      <c r="AO587" s="269"/>
    </row>
    <row r="588" spans="24:41" ht="8.4499999999999993" hidden="1" customHeight="1">
      <c r="X588" s="269"/>
      <c r="Y588" s="269"/>
      <c r="Z588" s="269"/>
      <c r="AA588" s="269"/>
      <c r="AB588" s="269"/>
      <c r="AC588" s="269"/>
      <c r="AD588" s="269"/>
      <c r="AE588" s="269"/>
      <c r="AF588" s="269"/>
      <c r="AG588" s="269"/>
      <c r="AH588" s="269"/>
      <c r="AI588" s="269"/>
      <c r="AJ588" s="269"/>
      <c r="AK588" s="269"/>
      <c r="AL588" s="269"/>
      <c r="AM588" s="269"/>
      <c r="AN588" s="269"/>
      <c r="AO588" s="269"/>
    </row>
    <row r="589" spans="24:41" ht="8.4499999999999993" hidden="1" customHeight="1">
      <c r="X589" s="269"/>
      <c r="Y589" s="269"/>
      <c r="Z589" s="269"/>
      <c r="AA589" s="269"/>
      <c r="AB589" s="269"/>
      <c r="AC589" s="269"/>
      <c r="AD589" s="269"/>
      <c r="AE589" s="269"/>
      <c r="AF589" s="269"/>
      <c r="AG589" s="269"/>
      <c r="AH589" s="269"/>
      <c r="AI589" s="269"/>
      <c r="AJ589" s="269"/>
      <c r="AK589" s="269"/>
      <c r="AL589" s="269"/>
      <c r="AM589" s="269"/>
      <c r="AN589" s="269"/>
      <c r="AO589" s="269"/>
    </row>
    <row r="590" spans="24:41" ht="8.4499999999999993" hidden="1" customHeight="1">
      <c r="X590" s="269"/>
      <c r="Y590" s="269"/>
      <c r="Z590" s="269"/>
      <c r="AA590" s="269"/>
      <c r="AB590" s="269"/>
      <c r="AC590" s="269"/>
      <c r="AD590" s="269"/>
      <c r="AE590" s="269"/>
      <c r="AF590" s="269"/>
      <c r="AG590" s="269"/>
      <c r="AH590" s="269"/>
      <c r="AI590" s="269"/>
      <c r="AJ590" s="269"/>
      <c r="AK590" s="269"/>
      <c r="AL590" s="269"/>
      <c r="AM590" s="269"/>
      <c r="AN590" s="269"/>
      <c r="AO590" s="269"/>
    </row>
    <row r="591" spans="24:41" ht="8.4499999999999993" hidden="1" customHeight="1">
      <c r="X591" s="269"/>
      <c r="Y591" s="269"/>
      <c r="Z591" s="269"/>
      <c r="AA591" s="269"/>
      <c r="AB591" s="269"/>
      <c r="AC591" s="269"/>
      <c r="AD591" s="269"/>
      <c r="AE591" s="269"/>
      <c r="AF591" s="269"/>
      <c r="AG591" s="269"/>
      <c r="AH591" s="269"/>
      <c r="AI591" s="269"/>
      <c r="AJ591" s="269"/>
      <c r="AK591" s="269"/>
      <c r="AL591" s="269"/>
      <c r="AM591" s="269"/>
      <c r="AN591" s="269"/>
      <c r="AO591" s="269"/>
    </row>
    <row r="592" spans="24:41" ht="8.4499999999999993" hidden="1" customHeight="1">
      <c r="X592" s="269"/>
      <c r="Y592" s="269"/>
      <c r="Z592" s="269"/>
      <c r="AA592" s="269"/>
      <c r="AB592" s="269"/>
      <c r="AC592" s="269"/>
      <c r="AD592" s="269"/>
      <c r="AE592" s="269"/>
      <c r="AF592" s="269"/>
      <c r="AG592" s="269"/>
      <c r="AH592" s="269"/>
      <c r="AI592" s="269"/>
      <c r="AJ592" s="269"/>
      <c r="AK592" s="269"/>
      <c r="AL592" s="269"/>
      <c r="AM592" s="269"/>
      <c r="AN592" s="269"/>
      <c r="AO592" s="269"/>
    </row>
    <row r="593" spans="24:41" ht="8.4499999999999993" hidden="1" customHeight="1">
      <c r="X593" s="269"/>
      <c r="Y593" s="269"/>
      <c r="Z593" s="269"/>
      <c r="AA593" s="269"/>
      <c r="AB593" s="269"/>
      <c r="AC593" s="269"/>
      <c r="AD593" s="269"/>
      <c r="AE593" s="269"/>
      <c r="AF593" s="269"/>
      <c r="AG593" s="269"/>
      <c r="AH593" s="269"/>
      <c r="AI593" s="269"/>
      <c r="AJ593" s="269"/>
      <c r="AK593" s="269"/>
      <c r="AL593" s="269"/>
      <c r="AM593" s="269"/>
      <c r="AN593" s="269"/>
      <c r="AO593" s="269"/>
    </row>
    <row r="594" spans="24:41" ht="8.4499999999999993" hidden="1" customHeight="1">
      <c r="X594" s="269"/>
      <c r="Y594" s="269"/>
      <c r="Z594" s="269"/>
      <c r="AA594" s="269"/>
      <c r="AB594" s="269"/>
      <c r="AC594" s="269"/>
      <c r="AD594" s="269"/>
      <c r="AE594" s="269"/>
      <c r="AF594" s="269"/>
      <c r="AG594" s="269"/>
      <c r="AH594" s="269"/>
      <c r="AI594" s="269"/>
      <c r="AJ594" s="269"/>
      <c r="AK594" s="269"/>
      <c r="AL594" s="269"/>
      <c r="AM594" s="269"/>
      <c r="AN594" s="269"/>
      <c r="AO594" s="269"/>
    </row>
    <row r="595" spans="24:41" ht="8.4499999999999993" hidden="1" customHeight="1">
      <c r="X595" s="269"/>
      <c r="Y595" s="269"/>
      <c r="Z595" s="269"/>
      <c r="AA595" s="269"/>
      <c r="AB595" s="269"/>
      <c r="AC595" s="269"/>
      <c r="AD595" s="269"/>
      <c r="AE595" s="269"/>
      <c r="AF595" s="269"/>
      <c r="AG595" s="269"/>
      <c r="AH595" s="269"/>
      <c r="AI595" s="269"/>
      <c r="AJ595" s="269"/>
      <c r="AK595" s="269"/>
      <c r="AL595" s="269"/>
      <c r="AM595" s="269"/>
      <c r="AN595" s="269"/>
      <c r="AO595" s="269"/>
    </row>
    <row r="596" spans="24:41" ht="8.4499999999999993" hidden="1" customHeight="1">
      <c r="X596" s="269"/>
      <c r="Y596" s="269"/>
      <c r="Z596" s="269"/>
      <c r="AA596" s="269"/>
      <c r="AB596" s="269"/>
      <c r="AC596" s="269"/>
      <c r="AD596" s="269"/>
      <c r="AE596" s="269"/>
      <c r="AF596" s="269"/>
      <c r="AG596" s="269"/>
      <c r="AH596" s="269"/>
      <c r="AI596" s="269"/>
      <c r="AJ596" s="269"/>
      <c r="AK596" s="269"/>
      <c r="AL596" s="269"/>
      <c r="AM596" s="269"/>
      <c r="AN596" s="269"/>
      <c r="AO596" s="269"/>
    </row>
    <row r="597" spans="24:41" ht="8.4499999999999993" hidden="1" customHeight="1">
      <c r="X597" s="269"/>
      <c r="Y597" s="269"/>
      <c r="Z597" s="269"/>
      <c r="AA597" s="269"/>
      <c r="AB597" s="269"/>
      <c r="AC597" s="269"/>
      <c r="AD597" s="269"/>
      <c r="AE597" s="269"/>
      <c r="AF597" s="269"/>
      <c r="AG597" s="269"/>
      <c r="AH597" s="269"/>
      <c r="AI597" s="269"/>
      <c r="AJ597" s="269"/>
      <c r="AK597" s="269"/>
      <c r="AL597" s="269"/>
      <c r="AM597" s="269"/>
      <c r="AN597" s="269"/>
      <c r="AO597" s="269"/>
    </row>
    <row r="598" spans="24:41" ht="8.4499999999999993" hidden="1" customHeight="1">
      <c r="X598" s="269"/>
      <c r="Y598" s="269"/>
      <c r="Z598" s="269"/>
      <c r="AA598" s="269"/>
      <c r="AB598" s="269"/>
      <c r="AC598" s="269"/>
      <c r="AD598" s="269"/>
      <c r="AE598" s="269"/>
      <c r="AF598" s="269"/>
      <c r="AG598" s="269"/>
      <c r="AH598" s="269"/>
      <c r="AI598" s="269"/>
      <c r="AJ598" s="269"/>
      <c r="AK598" s="269"/>
      <c r="AL598" s="269"/>
      <c r="AM598" s="269"/>
      <c r="AN598" s="269"/>
      <c r="AO598" s="269"/>
    </row>
    <row r="599" spans="24:41" ht="8.4499999999999993" hidden="1" customHeight="1">
      <c r="X599" s="269"/>
      <c r="Y599" s="269"/>
      <c r="Z599" s="269"/>
      <c r="AA599" s="269"/>
      <c r="AB599" s="269"/>
      <c r="AC599" s="269"/>
      <c r="AD599" s="269"/>
      <c r="AE599" s="269"/>
      <c r="AF599" s="269"/>
      <c r="AG599" s="269"/>
      <c r="AH599" s="269"/>
      <c r="AI599" s="269"/>
      <c r="AJ599" s="269"/>
      <c r="AK599" s="269"/>
      <c r="AL599" s="269"/>
      <c r="AM599" s="269"/>
      <c r="AN599" s="269"/>
      <c r="AO599" s="269"/>
    </row>
    <row r="600" spans="24:41" ht="8.4499999999999993" hidden="1" customHeight="1">
      <c r="X600" s="269"/>
      <c r="Y600" s="269"/>
      <c r="Z600" s="269"/>
      <c r="AA600" s="269"/>
      <c r="AB600" s="269"/>
      <c r="AC600" s="269"/>
      <c r="AD600" s="269"/>
      <c r="AE600" s="269"/>
      <c r="AF600" s="269"/>
      <c r="AG600" s="269"/>
      <c r="AH600" s="269"/>
      <c r="AI600" s="269"/>
      <c r="AJ600" s="269"/>
      <c r="AK600" s="269"/>
      <c r="AL600" s="269"/>
      <c r="AM600" s="269"/>
      <c r="AN600" s="269"/>
      <c r="AO600" s="269"/>
    </row>
    <row r="601" spans="24:41" ht="8.4499999999999993" hidden="1" customHeight="1">
      <c r="X601" s="269"/>
      <c r="Y601" s="269"/>
      <c r="Z601" s="269"/>
      <c r="AA601" s="269"/>
      <c r="AB601" s="269"/>
      <c r="AC601" s="269"/>
      <c r="AD601" s="269"/>
      <c r="AE601" s="269"/>
      <c r="AF601" s="269"/>
      <c r="AG601" s="269"/>
      <c r="AH601" s="269"/>
      <c r="AI601" s="269"/>
      <c r="AJ601" s="269"/>
      <c r="AK601" s="269"/>
      <c r="AL601" s="269"/>
      <c r="AM601" s="269"/>
      <c r="AN601" s="269"/>
      <c r="AO601" s="269"/>
    </row>
    <row r="602" spans="24:41" ht="8.4499999999999993" hidden="1" customHeight="1">
      <c r="X602" s="269"/>
      <c r="Y602" s="269"/>
      <c r="Z602" s="269"/>
      <c r="AA602" s="269"/>
      <c r="AB602" s="269"/>
      <c r="AC602" s="269"/>
      <c r="AD602" s="269"/>
      <c r="AE602" s="269"/>
      <c r="AF602" s="269"/>
      <c r="AG602" s="269"/>
      <c r="AH602" s="269"/>
      <c r="AI602" s="269"/>
      <c r="AJ602" s="269"/>
      <c r="AK602" s="269"/>
      <c r="AL602" s="269"/>
      <c r="AM602" s="269"/>
      <c r="AN602" s="269"/>
      <c r="AO602" s="269"/>
    </row>
    <row r="603" spans="24:41" ht="8.4499999999999993" hidden="1" customHeight="1">
      <c r="X603" s="269"/>
      <c r="Y603" s="269"/>
      <c r="Z603" s="269"/>
      <c r="AA603" s="269"/>
      <c r="AB603" s="269"/>
      <c r="AC603" s="269"/>
      <c r="AD603" s="269"/>
      <c r="AE603" s="269"/>
      <c r="AF603" s="269"/>
      <c r="AG603" s="269"/>
      <c r="AH603" s="269"/>
      <c r="AI603" s="269"/>
      <c r="AJ603" s="269"/>
      <c r="AK603" s="269"/>
      <c r="AL603" s="269"/>
      <c r="AM603" s="269"/>
      <c r="AN603" s="269"/>
      <c r="AO603" s="269"/>
    </row>
    <row r="604" spans="24:41" ht="8.4499999999999993" hidden="1" customHeight="1">
      <c r="X604" s="269"/>
      <c r="Y604" s="269"/>
      <c r="Z604" s="269"/>
      <c r="AA604" s="269"/>
      <c r="AB604" s="269"/>
      <c r="AC604" s="269"/>
      <c r="AD604" s="269"/>
      <c r="AE604" s="269"/>
      <c r="AF604" s="269"/>
      <c r="AG604" s="269"/>
      <c r="AH604" s="269"/>
      <c r="AI604" s="269"/>
      <c r="AJ604" s="269"/>
      <c r="AK604" s="269"/>
      <c r="AL604" s="269"/>
      <c r="AM604" s="269"/>
      <c r="AN604" s="269"/>
      <c r="AO604" s="269"/>
    </row>
    <row r="605" spans="24:41" ht="8.4499999999999993" hidden="1" customHeight="1">
      <c r="X605" s="269"/>
      <c r="Y605" s="269"/>
      <c r="Z605" s="269"/>
      <c r="AA605" s="269"/>
      <c r="AB605" s="269"/>
      <c r="AC605" s="269"/>
      <c r="AD605" s="269"/>
      <c r="AE605" s="269"/>
      <c r="AF605" s="269"/>
      <c r="AG605" s="269"/>
      <c r="AH605" s="269"/>
      <c r="AI605" s="269"/>
      <c r="AJ605" s="269"/>
      <c r="AK605" s="269"/>
      <c r="AL605" s="269"/>
      <c r="AM605" s="269"/>
      <c r="AN605" s="269"/>
      <c r="AO605" s="269"/>
    </row>
    <row r="606" spans="24:41" ht="8.4499999999999993" hidden="1" customHeight="1">
      <c r="X606" s="269"/>
      <c r="Y606" s="269"/>
      <c r="Z606" s="269"/>
      <c r="AA606" s="269"/>
      <c r="AB606" s="269"/>
      <c r="AC606" s="269"/>
      <c r="AD606" s="269"/>
      <c r="AE606" s="269"/>
      <c r="AF606" s="269"/>
      <c r="AG606" s="269"/>
      <c r="AH606" s="269"/>
      <c r="AI606" s="269"/>
      <c r="AJ606" s="269"/>
      <c r="AK606" s="269"/>
      <c r="AL606" s="269"/>
      <c r="AM606" s="269"/>
      <c r="AN606" s="269"/>
      <c r="AO606" s="269"/>
    </row>
    <row r="607" spans="24:41" ht="8.4499999999999993" hidden="1" customHeight="1">
      <c r="X607" s="269"/>
      <c r="Y607" s="269"/>
      <c r="Z607" s="269"/>
      <c r="AA607" s="269"/>
      <c r="AB607" s="269"/>
      <c r="AC607" s="269"/>
      <c r="AD607" s="269"/>
      <c r="AE607" s="269"/>
      <c r="AF607" s="269"/>
      <c r="AG607" s="269"/>
      <c r="AH607" s="269"/>
      <c r="AI607" s="269"/>
      <c r="AJ607" s="269"/>
      <c r="AK607" s="269"/>
      <c r="AL607" s="269"/>
      <c r="AM607" s="269"/>
      <c r="AN607" s="269"/>
      <c r="AO607" s="269"/>
    </row>
    <row r="608" spans="24:41" ht="8.4499999999999993" hidden="1" customHeight="1">
      <c r="X608" s="269"/>
      <c r="Y608" s="269"/>
      <c r="Z608" s="269"/>
      <c r="AA608" s="269"/>
      <c r="AB608" s="269"/>
      <c r="AC608" s="269"/>
      <c r="AD608" s="269"/>
      <c r="AE608" s="269"/>
      <c r="AF608" s="269"/>
      <c r="AG608" s="269"/>
      <c r="AH608" s="269"/>
      <c r="AI608" s="269"/>
      <c r="AJ608" s="269"/>
      <c r="AK608" s="269"/>
      <c r="AL608" s="269"/>
      <c r="AM608" s="269"/>
      <c r="AN608" s="269"/>
      <c r="AO608" s="269"/>
    </row>
    <row r="609" spans="24:41" ht="8.4499999999999993" hidden="1" customHeight="1">
      <c r="X609" s="269"/>
      <c r="Y609" s="269"/>
      <c r="Z609" s="269"/>
      <c r="AA609" s="269"/>
      <c r="AB609" s="269"/>
      <c r="AC609" s="269"/>
      <c r="AD609" s="269"/>
      <c r="AE609" s="269"/>
      <c r="AF609" s="269"/>
      <c r="AG609" s="269"/>
      <c r="AH609" s="269"/>
      <c r="AI609" s="269"/>
      <c r="AJ609" s="269"/>
      <c r="AK609" s="269"/>
      <c r="AL609" s="269"/>
      <c r="AM609" s="269"/>
      <c r="AN609" s="269"/>
      <c r="AO609" s="269"/>
    </row>
    <row r="610" spans="24:41" ht="8.4499999999999993" hidden="1" customHeight="1">
      <c r="X610" s="269"/>
      <c r="Y610" s="269"/>
      <c r="Z610" s="269"/>
      <c r="AA610" s="269"/>
      <c r="AB610" s="269"/>
      <c r="AC610" s="269"/>
      <c r="AD610" s="269"/>
      <c r="AE610" s="269"/>
      <c r="AF610" s="269"/>
      <c r="AG610" s="269"/>
      <c r="AH610" s="269"/>
      <c r="AI610" s="269"/>
      <c r="AJ610" s="269"/>
      <c r="AK610" s="269"/>
      <c r="AL610" s="269"/>
      <c r="AM610" s="269"/>
      <c r="AN610" s="269"/>
      <c r="AO610" s="269"/>
    </row>
    <row r="611" spans="24:41" ht="8.4499999999999993" hidden="1" customHeight="1">
      <c r="X611" s="269"/>
      <c r="Y611" s="269"/>
      <c r="Z611" s="269"/>
      <c r="AA611" s="269"/>
      <c r="AB611" s="269"/>
      <c r="AC611" s="269"/>
      <c r="AD611" s="269"/>
      <c r="AE611" s="269"/>
      <c r="AF611" s="269"/>
      <c r="AG611" s="269"/>
      <c r="AH611" s="269"/>
      <c r="AI611" s="269"/>
      <c r="AJ611" s="269"/>
      <c r="AK611" s="269"/>
      <c r="AL611" s="269"/>
      <c r="AM611" s="269"/>
      <c r="AN611" s="269"/>
      <c r="AO611" s="269"/>
    </row>
    <row r="612" spans="24:41" ht="8.4499999999999993" hidden="1" customHeight="1">
      <c r="X612" s="269"/>
      <c r="Y612" s="269"/>
      <c r="Z612" s="269"/>
      <c r="AA612" s="269"/>
      <c r="AB612" s="269"/>
      <c r="AC612" s="269"/>
      <c r="AD612" s="269"/>
      <c r="AE612" s="269"/>
      <c r="AF612" s="269"/>
      <c r="AG612" s="269"/>
      <c r="AH612" s="269"/>
      <c r="AI612" s="269"/>
      <c r="AJ612" s="269"/>
      <c r="AK612" s="269"/>
      <c r="AL612" s="269"/>
      <c r="AM612" s="269"/>
      <c r="AN612" s="269"/>
      <c r="AO612" s="269"/>
    </row>
    <row r="613" spans="24:41" ht="8.4499999999999993" hidden="1" customHeight="1">
      <c r="X613" s="269"/>
      <c r="Y613" s="269"/>
      <c r="Z613" s="269"/>
      <c r="AA613" s="269"/>
      <c r="AB613" s="269"/>
      <c r="AC613" s="269"/>
      <c r="AD613" s="269"/>
      <c r="AE613" s="269"/>
      <c r="AF613" s="269"/>
      <c r="AG613" s="269"/>
      <c r="AH613" s="269"/>
      <c r="AI613" s="269"/>
      <c r="AJ613" s="269"/>
      <c r="AK613" s="269"/>
      <c r="AL613" s="269"/>
      <c r="AM613" s="269"/>
      <c r="AN613" s="269"/>
      <c r="AO613" s="269"/>
    </row>
    <row r="614" spans="24:41" ht="8.4499999999999993" hidden="1" customHeight="1">
      <c r="X614" s="269"/>
      <c r="Y614" s="269"/>
      <c r="Z614" s="269"/>
      <c r="AA614" s="269"/>
      <c r="AB614" s="269"/>
      <c r="AC614" s="269"/>
      <c r="AD614" s="269"/>
      <c r="AE614" s="269"/>
      <c r="AF614" s="269"/>
      <c r="AG614" s="269"/>
      <c r="AH614" s="269"/>
      <c r="AI614" s="269"/>
      <c r="AJ614" s="269"/>
      <c r="AK614" s="269"/>
      <c r="AL614" s="269"/>
      <c r="AM614" s="269"/>
      <c r="AN614" s="269"/>
      <c r="AO614" s="269"/>
    </row>
    <row r="615" spans="24:41" ht="8.4499999999999993" hidden="1" customHeight="1">
      <c r="X615" s="269"/>
      <c r="Y615" s="269"/>
      <c r="Z615" s="269"/>
      <c r="AA615" s="269"/>
      <c r="AB615" s="269"/>
      <c r="AC615" s="269"/>
      <c r="AD615" s="269"/>
      <c r="AE615" s="269"/>
      <c r="AF615" s="269"/>
      <c r="AG615" s="269"/>
      <c r="AH615" s="269"/>
      <c r="AI615" s="269"/>
      <c r="AJ615" s="269"/>
      <c r="AK615" s="269"/>
      <c r="AL615" s="269"/>
      <c r="AM615" s="269"/>
      <c r="AN615" s="269"/>
      <c r="AO615" s="269"/>
    </row>
    <row r="616" spans="24:41" ht="8.4499999999999993" hidden="1" customHeight="1">
      <c r="X616" s="269"/>
      <c r="Y616" s="269"/>
      <c r="Z616" s="269"/>
      <c r="AA616" s="269"/>
      <c r="AB616" s="269"/>
      <c r="AC616" s="269"/>
      <c r="AD616" s="269"/>
      <c r="AE616" s="269"/>
      <c r="AF616" s="269"/>
      <c r="AG616" s="269"/>
      <c r="AH616" s="269"/>
      <c r="AI616" s="269"/>
      <c r="AJ616" s="269"/>
      <c r="AK616" s="269"/>
      <c r="AL616" s="269"/>
      <c r="AM616" s="269"/>
      <c r="AN616" s="269"/>
      <c r="AO616" s="269"/>
    </row>
    <row r="617" spans="24:41" ht="8.4499999999999993" hidden="1" customHeight="1">
      <c r="X617" s="269"/>
      <c r="Y617" s="269"/>
      <c r="Z617" s="269"/>
      <c r="AA617" s="269"/>
      <c r="AB617" s="269"/>
      <c r="AC617" s="269"/>
      <c r="AD617" s="269"/>
      <c r="AE617" s="269"/>
      <c r="AF617" s="269"/>
      <c r="AG617" s="269"/>
      <c r="AH617" s="269"/>
      <c r="AI617" s="269"/>
      <c r="AJ617" s="269"/>
      <c r="AK617" s="269"/>
      <c r="AL617" s="269"/>
      <c r="AM617" s="269"/>
      <c r="AN617" s="269"/>
      <c r="AO617" s="269"/>
    </row>
    <row r="618" spans="24:41" ht="8.4499999999999993" hidden="1" customHeight="1">
      <c r="X618" s="269"/>
      <c r="Y618" s="269"/>
      <c r="Z618" s="269"/>
      <c r="AA618" s="269"/>
      <c r="AB618" s="269"/>
      <c r="AC618" s="269"/>
      <c r="AD618" s="269"/>
      <c r="AE618" s="269"/>
      <c r="AF618" s="269"/>
      <c r="AG618" s="269"/>
      <c r="AH618" s="269"/>
      <c r="AI618" s="269"/>
      <c r="AJ618" s="269"/>
      <c r="AK618" s="269"/>
      <c r="AL618" s="269"/>
      <c r="AM618" s="269"/>
      <c r="AN618" s="269"/>
      <c r="AO618" s="269"/>
    </row>
    <row r="619" spans="24:41" ht="8.4499999999999993" hidden="1" customHeight="1">
      <c r="X619" s="269"/>
      <c r="Y619" s="269"/>
      <c r="Z619" s="269"/>
      <c r="AA619" s="269"/>
      <c r="AB619" s="269"/>
      <c r="AC619" s="269"/>
      <c r="AD619" s="269"/>
      <c r="AE619" s="269"/>
      <c r="AF619" s="269"/>
      <c r="AG619" s="269"/>
      <c r="AH619" s="269"/>
      <c r="AI619" s="269"/>
      <c r="AJ619" s="269"/>
      <c r="AK619" s="269"/>
      <c r="AL619" s="269"/>
      <c r="AM619" s="269"/>
      <c r="AN619" s="269"/>
      <c r="AO619" s="269"/>
    </row>
    <row r="620" spans="24:41" ht="8.4499999999999993" hidden="1" customHeight="1">
      <c r="X620" s="269"/>
      <c r="Y620" s="269"/>
      <c r="Z620" s="269"/>
      <c r="AA620" s="269"/>
      <c r="AB620" s="269"/>
      <c r="AC620" s="269"/>
      <c r="AD620" s="269"/>
      <c r="AE620" s="269"/>
      <c r="AF620" s="269"/>
      <c r="AG620" s="269"/>
      <c r="AH620" s="269"/>
      <c r="AI620" s="269"/>
      <c r="AJ620" s="269"/>
      <c r="AK620" s="269"/>
      <c r="AL620" s="269"/>
      <c r="AM620" s="269"/>
      <c r="AN620" s="269"/>
      <c r="AO620" s="269"/>
    </row>
    <row r="621" spans="24:41" ht="8.4499999999999993" hidden="1" customHeight="1">
      <c r="X621" s="269"/>
      <c r="Y621" s="269"/>
      <c r="Z621" s="269"/>
      <c r="AA621" s="269"/>
      <c r="AB621" s="269"/>
      <c r="AC621" s="269"/>
      <c r="AD621" s="269"/>
      <c r="AE621" s="269"/>
      <c r="AF621" s="269"/>
      <c r="AG621" s="269"/>
      <c r="AH621" s="269"/>
      <c r="AI621" s="269"/>
      <c r="AJ621" s="269"/>
      <c r="AK621" s="269"/>
      <c r="AL621" s="269"/>
      <c r="AM621" s="269"/>
      <c r="AN621" s="269"/>
      <c r="AO621" s="269"/>
    </row>
    <row r="622" spans="24:41" ht="8.4499999999999993" hidden="1" customHeight="1">
      <c r="X622" s="269"/>
      <c r="Y622" s="269"/>
      <c r="Z622" s="269"/>
      <c r="AA622" s="269"/>
      <c r="AB622" s="269"/>
      <c r="AC622" s="269"/>
      <c r="AD622" s="269"/>
      <c r="AE622" s="269"/>
      <c r="AF622" s="269"/>
      <c r="AG622" s="269"/>
      <c r="AH622" s="269"/>
      <c r="AI622" s="269"/>
      <c r="AJ622" s="269"/>
      <c r="AK622" s="269"/>
      <c r="AL622" s="269"/>
      <c r="AM622" s="269"/>
      <c r="AN622" s="269"/>
      <c r="AO622" s="269"/>
    </row>
    <row r="623" spans="24:41" ht="8.4499999999999993" hidden="1" customHeight="1">
      <c r="X623" s="269"/>
      <c r="Y623" s="269"/>
      <c r="Z623" s="269"/>
      <c r="AA623" s="269"/>
      <c r="AB623" s="269"/>
      <c r="AC623" s="269"/>
      <c r="AD623" s="269"/>
      <c r="AE623" s="269"/>
      <c r="AF623" s="269"/>
      <c r="AG623" s="269"/>
      <c r="AH623" s="269"/>
      <c r="AI623" s="269"/>
      <c r="AJ623" s="269"/>
      <c r="AK623" s="269"/>
      <c r="AL623" s="269"/>
      <c r="AM623" s="269"/>
      <c r="AN623" s="269"/>
      <c r="AO623" s="269"/>
    </row>
    <row r="624" spans="24:41" ht="8.4499999999999993" hidden="1" customHeight="1">
      <c r="X624" s="269"/>
      <c r="Y624" s="269"/>
      <c r="Z624" s="269"/>
      <c r="AA624" s="269"/>
      <c r="AB624" s="269"/>
      <c r="AC624" s="269"/>
      <c r="AD624" s="269"/>
      <c r="AE624" s="269"/>
      <c r="AF624" s="269"/>
      <c r="AG624" s="269"/>
      <c r="AH624" s="269"/>
      <c r="AI624" s="269"/>
      <c r="AJ624" s="269"/>
      <c r="AK624" s="269"/>
      <c r="AL624" s="269"/>
      <c r="AM624" s="269"/>
      <c r="AN624" s="269"/>
      <c r="AO624" s="269"/>
    </row>
    <row r="625" spans="24:41" ht="8.4499999999999993" hidden="1" customHeight="1">
      <c r="X625" s="269"/>
      <c r="Y625" s="269"/>
      <c r="Z625" s="269"/>
      <c r="AA625" s="269"/>
      <c r="AB625" s="269"/>
      <c r="AC625" s="269"/>
      <c r="AD625" s="269"/>
      <c r="AE625" s="269"/>
      <c r="AF625" s="269"/>
      <c r="AG625" s="269"/>
      <c r="AH625" s="269"/>
      <c r="AI625" s="269"/>
      <c r="AJ625" s="269"/>
      <c r="AK625" s="269"/>
      <c r="AL625" s="269"/>
      <c r="AM625" s="269"/>
      <c r="AN625" s="269"/>
      <c r="AO625" s="269"/>
    </row>
    <row r="626" spans="24:41" ht="8.4499999999999993" hidden="1" customHeight="1">
      <c r="X626" s="269"/>
      <c r="Y626" s="269"/>
      <c r="Z626" s="269"/>
      <c r="AA626" s="269"/>
      <c r="AB626" s="269"/>
      <c r="AC626" s="269"/>
      <c r="AD626" s="269"/>
      <c r="AE626" s="269"/>
      <c r="AF626" s="269"/>
      <c r="AG626" s="269"/>
      <c r="AH626" s="269"/>
      <c r="AI626" s="269"/>
      <c r="AJ626" s="269"/>
      <c r="AK626" s="269"/>
      <c r="AL626" s="269"/>
      <c r="AM626" s="269"/>
      <c r="AN626" s="269"/>
      <c r="AO626" s="269"/>
    </row>
    <row r="627" spans="24:41" ht="8.4499999999999993" hidden="1" customHeight="1">
      <c r="X627" s="269"/>
      <c r="Y627" s="269"/>
      <c r="Z627" s="269"/>
      <c r="AA627" s="269"/>
      <c r="AB627" s="269"/>
      <c r="AC627" s="269"/>
      <c r="AD627" s="269"/>
      <c r="AE627" s="269"/>
      <c r="AF627" s="269"/>
      <c r="AG627" s="269"/>
      <c r="AH627" s="269"/>
      <c r="AI627" s="269"/>
      <c r="AJ627" s="269"/>
      <c r="AK627" s="269"/>
      <c r="AL627" s="269"/>
      <c r="AM627" s="269"/>
      <c r="AN627" s="269"/>
      <c r="AO627" s="269"/>
    </row>
    <row r="628" spans="24:41" ht="8.4499999999999993" hidden="1" customHeight="1">
      <c r="X628" s="269"/>
      <c r="Y628" s="269"/>
      <c r="Z628" s="269"/>
      <c r="AA628" s="269"/>
      <c r="AB628" s="269"/>
      <c r="AC628" s="269"/>
      <c r="AD628" s="269"/>
      <c r="AE628" s="269"/>
      <c r="AF628" s="269"/>
      <c r="AG628" s="269"/>
      <c r="AH628" s="269"/>
      <c r="AI628" s="269"/>
      <c r="AJ628" s="269"/>
      <c r="AK628" s="269"/>
      <c r="AL628" s="269"/>
      <c r="AM628" s="269"/>
      <c r="AN628" s="269"/>
      <c r="AO628" s="269"/>
    </row>
    <row r="629" spans="24:41" ht="8.4499999999999993" hidden="1" customHeight="1">
      <c r="X629" s="269"/>
      <c r="Y629" s="269"/>
      <c r="Z629" s="269"/>
      <c r="AA629" s="269"/>
      <c r="AB629" s="269"/>
      <c r="AC629" s="269"/>
      <c r="AD629" s="269"/>
      <c r="AE629" s="269"/>
      <c r="AF629" s="269"/>
      <c r="AG629" s="269"/>
      <c r="AH629" s="269"/>
      <c r="AI629" s="269"/>
      <c r="AJ629" s="269"/>
      <c r="AK629" s="269"/>
      <c r="AL629" s="269"/>
      <c r="AM629" s="269"/>
      <c r="AN629" s="269"/>
      <c r="AO629" s="269"/>
    </row>
    <row r="630" spans="24:41" ht="8.4499999999999993" hidden="1" customHeight="1">
      <c r="X630" s="269"/>
      <c r="Y630" s="269"/>
      <c r="Z630" s="269"/>
      <c r="AA630" s="269"/>
      <c r="AB630" s="269"/>
      <c r="AC630" s="269"/>
      <c r="AD630" s="269"/>
      <c r="AE630" s="269"/>
      <c r="AF630" s="269"/>
      <c r="AG630" s="269"/>
      <c r="AH630" s="269"/>
      <c r="AI630" s="269"/>
      <c r="AJ630" s="269"/>
      <c r="AK630" s="269"/>
      <c r="AL630" s="269"/>
      <c r="AM630" s="269"/>
      <c r="AN630" s="269"/>
      <c r="AO630" s="269"/>
    </row>
    <row r="631" spans="24:41" ht="8.4499999999999993" hidden="1" customHeight="1">
      <c r="X631" s="269"/>
      <c r="Y631" s="269"/>
      <c r="Z631" s="269"/>
      <c r="AA631" s="269"/>
      <c r="AB631" s="269"/>
      <c r="AC631" s="269"/>
      <c r="AD631" s="269"/>
      <c r="AE631" s="269"/>
      <c r="AF631" s="269"/>
      <c r="AG631" s="269"/>
      <c r="AH631" s="269"/>
      <c r="AI631" s="269"/>
      <c r="AJ631" s="269"/>
      <c r="AK631" s="269"/>
      <c r="AL631" s="269"/>
      <c r="AM631" s="269"/>
      <c r="AN631" s="269"/>
      <c r="AO631" s="269"/>
    </row>
    <row r="632" spans="24:41" ht="8.4499999999999993" hidden="1" customHeight="1">
      <c r="X632" s="269"/>
      <c r="Y632" s="269"/>
      <c r="Z632" s="269"/>
      <c r="AA632" s="269"/>
      <c r="AB632" s="269"/>
      <c r="AC632" s="269"/>
      <c r="AD632" s="269"/>
      <c r="AE632" s="269"/>
      <c r="AF632" s="269"/>
      <c r="AG632" s="269"/>
      <c r="AH632" s="269"/>
      <c r="AI632" s="269"/>
      <c r="AJ632" s="269"/>
      <c r="AK632" s="269"/>
      <c r="AL632" s="269"/>
      <c r="AM632" s="269"/>
      <c r="AN632" s="269"/>
      <c r="AO632" s="269"/>
    </row>
    <row r="633" spans="24:41" ht="8.4499999999999993" hidden="1" customHeight="1">
      <c r="X633" s="269"/>
      <c r="Y633" s="269"/>
      <c r="Z633" s="269"/>
      <c r="AA633" s="269"/>
      <c r="AB633" s="269"/>
      <c r="AC633" s="269"/>
      <c r="AD633" s="269"/>
      <c r="AE633" s="269"/>
      <c r="AF633" s="269"/>
      <c r="AG633" s="269"/>
      <c r="AH633" s="269"/>
      <c r="AI633" s="269"/>
      <c r="AJ633" s="269"/>
      <c r="AK633" s="269"/>
      <c r="AL633" s="269"/>
      <c r="AM633" s="269"/>
      <c r="AN633" s="269"/>
      <c r="AO633" s="269"/>
    </row>
    <row r="634" spans="24:41" ht="8.4499999999999993" hidden="1" customHeight="1">
      <c r="X634" s="269"/>
      <c r="Y634" s="269"/>
      <c r="Z634" s="269"/>
      <c r="AA634" s="269"/>
      <c r="AB634" s="269"/>
      <c r="AC634" s="269"/>
      <c r="AD634" s="269"/>
      <c r="AE634" s="269"/>
      <c r="AF634" s="269"/>
      <c r="AG634" s="269"/>
      <c r="AH634" s="269"/>
      <c r="AI634" s="269"/>
      <c r="AJ634" s="269"/>
      <c r="AK634" s="269"/>
      <c r="AL634" s="269"/>
      <c r="AM634" s="269"/>
      <c r="AN634" s="269"/>
      <c r="AO634" s="269"/>
    </row>
    <row r="635" spans="24:41" ht="8.4499999999999993" hidden="1" customHeight="1">
      <c r="X635" s="269"/>
      <c r="Y635" s="269"/>
      <c r="Z635" s="269"/>
      <c r="AA635" s="269"/>
      <c r="AB635" s="269"/>
      <c r="AC635" s="269"/>
      <c r="AD635" s="269"/>
      <c r="AE635" s="269"/>
      <c r="AF635" s="269"/>
      <c r="AG635" s="269"/>
      <c r="AH635" s="269"/>
      <c r="AI635" s="269"/>
      <c r="AJ635" s="269"/>
      <c r="AK635" s="269"/>
      <c r="AL635" s="269"/>
      <c r="AM635" s="269"/>
      <c r="AN635" s="269"/>
      <c r="AO635" s="269"/>
    </row>
    <row r="636" spans="24:41" ht="8.4499999999999993" hidden="1" customHeight="1">
      <c r="X636" s="269"/>
      <c r="Y636" s="269"/>
      <c r="Z636" s="269"/>
      <c r="AA636" s="269"/>
      <c r="AB636" s="269"/>
      <c r="AC636" s="269"/>
      <c r="AD636" s="269"/>
      <c r="AE636" s="269"/>
      <c r="AF636" s="269"/>
      <c r="AG636" s="269"/>
      <c r="AH636" s="269"/>
      <c r="AI636" s="269"/>
      <c r="AJ636" s="269"/>
      <c r="AK636" s="269"/>
      <c r="AL636" s="269"/>
      <c r="AM636" s="269"/>
      <c r="AN636" s="269"/>
      <c r="AO636" s="269"/>
    </row>
    <row r="637" spans="24:41" ht="8.4499999999999993" hidden="1" customHeight="1">
      <c r="X637" s="269"/>
      <c r="Y637" s="269"/>
      <c r="Z637" s="269"/>
      <c r="AA637" s="269"/>
      <c r="AB637" s="269"/>
      <c r="AC637" s="269"/>
      <c r="AD637" s="269"/>
      <c r="AE637" s="269"/>
      <c r="AF637" s="269"/>
      <c r="AG637" s="269"/>
      <c r="AH637" s="269"/>
      <c r="AI637" s="269"/>
      <c r="AJ637" s="269"/>
      <c r="AK637" s="269"/>
      <c r="AL637" s="269"/>
      <c r="AM637" s="269"/>
      <c r="AN637" s="269"/>
      <c r="AO637" s="269"/>
    </row>
    <row r="638" spans="24:41" ht="8.4499999999999993" hidden="1" customHeight="1">
      <c r="X638" s="269"/>
      <c r="Y638" s="269"/>
      <c r="Z638" s="269"/>
      <c r="AA638" s="269"/>
      <c r="AB638" s="269"/>
      <c r="AC638" s="269"/>
      <c r="AD638" s="269"/>
      <c r="AE638" s="269"/>
      <c r="AF638" s="269"/>
      <c r="AG638" s="269"/>
      <c r="AH638" s="269"/>
      <c r="AI638" s="269"/>
      <c r="AJ638" s="269"/>
      <c r="AK638" s="269"/>
      <c r="AL638" s="269"/>
      <c r="AM638" s="269"/>
      <c r="AN638" s="269"/>
      <c r="AO638" s="269"/>
    </row>
    <row r="639" spans="24:41" ht="8.4499999999999993" hidden="1" customHeight="1">
      <c r="X639" s="259"/>
      <c r="Y639" s="259"/>
      <c r="Z639" s="259"/>
      <c r="AA639" s="259"/>
      <c r="AB639" s="259"/>
      <c r="AC639" s="259"/>
      <c r="AD639" s="259"/>
      <c r="AE639" s="259"/>
      <c r="AF639" s="259"/>
      <c r="AG639" s="259"/>
      <c r="AH639" s="259"/>
      <c r="AI639" s="259"/>
      <c r="AJ639" s="259"/>
      <c r="AK639" s="259"/>
      <c r="AL639" s="259"/>
      <c r="AM639" s="259"/>
      <c r="AN639" s="259"/>
      <c r="AO639" s="259"/>
    </row>
    <row r="640" spans="24:41" ht="8.4499999999999993" hidden="1" customHeight="1">
      <c r="X640" s="259"/>
      <c r="Y640" s="259"/>
      <c r="Z640" s="259"/>
      <c r="AA640" s="259"/>
      <c r="AB640" s="259"/>
      <c r="AC640" s="259"/>
      <c r="AD640" s="259"/>
      <c r="AE640" s="259"/>
      <c r="AF640" s="259"/>
      <c r="AG640" s="259"/>
      <c r="AH640" s="259"/>
      <c r="AI640" s="259"/>
      <c r="AJ640" s="259"/>
      <c r="AK640" s="259"/>
      <c r="AL640" s="259"/>
      <c r="AM640" s="259"/>
      <c r="AN640" s="259"/>
      <c r="AO640" s="259"/>
    </row>
    <row r="641" spans="24:41" ht="8.4499999999999993" hidden="1" customHeight="1">
      <c r="X641" s="269"/>
      <c r="Y641" s="269"/>
      <c r="Z641" s="269"/>
      <c r="AA641" s="269"/>
      <c r="AB641" s="269"/>
      <c r="AC641" s="269"/>
      <c r="AD641" s="269"/>
      <c r="AE641" s="269"/>
      <c r="AF641" s="269"/>
      <c r="AG641" s="269"/>
      <c r="AH641" s="269"/>
      <c r="AI641" s="269"/>
      <c r="AJ641" s="269"/>
      <c r="AK641" s="269"/>
      <c r="AL641" s="269"/>
      <c r="AM641" s="269"/>
      <c r="AN641" s="269"/>
      <c r="AO641" s="269"/>
    </row>
    <row r="642" spans="24:41" ht="8.4499999999999993" hidden="1" customHeight="1">
      <c r="X642" s="269"/>
      <c r="Y642" s="269"/>
      <c r="Z642" s="269"/>
      <c r="AA642" s="269"/>
      <c r="AB642" s="269"/>
      <c r="AC642" s="269"/>
      <c r="AD642" s="269"/>
      <c r="AE642" s="269"/>
      <c r="AF642" s="269"/>
      <c r="AG642" s="269"/>
      <c r="AH642" s="269"/>
      <c r="AI642" s="269"/>
      <c r="AJ642" s="269"/>
      <c r="AK642" s="269"/>
      <c r="AL642" s="269"/>
      <c r="AM642" s="269"/>
      <c r="AN642" s="269"/>
      <c r="AO642" s="269"/>
    </row>
    <row r="643" spans="24:41" ht="8.4499999999999993" hidden="1" customHeight="1">
      <c r="X643" s="269"/>
      <c r="Y643" s="269"/>
      <c r="Z643" s="269"/>
      <c r="AA643" s="269"/>
      <c r="AB643" s="269"/>
      <c r="AC643" s="269"/>
      <c r="AD643" s="269"/>
      <c r="AE643" s="269"/>
      <c r="AF643" s="269"/>
      <c r="AG643" s="269"/>
      <c r="AH643" s="269"/>
      <c r="AI643" s="269"/>
      <c r="AJ643" s="269"/>
      <c r="AK643" s="269"/>
      <c r="AL643" s="269"/>
      <c r="AM643" s="269"/>
      <c r="AN643" s="269"/>
      <c r="AO643" s="269"/>
    </row>
    <row r="644" spans="24:41" ht="8.4499999999999993" hidden="1" customHeight="1">
      <c r="X644" s="269"/>
      <c r="Y644" s="269"/>
      <c r="Z644" s="269"/>
      <c r="AA644" s="269"/>
      <c r="AB644" s="269"/>
      <c r="AC644" s="269"/>
      <c r="AD644" s="269"/>
      <c r="AE644" s="269"/>
      <c r="AF644" s="269"/>
      <c r="AG644" s="269"/>
      <c r="AH644" s="269"/>
      <c r="AI644" s="269"/>
      <c r="AJ644" s="269"/>
      <c r="AK644" s="269"/>
      <c r="AL644" s="269"/>
      <c r="AM644" s="269"/>
      <c r="AN644" s="269"/>
      <c r="AO644" s="269"/>
    </row>
    <row r="645" spans="24:41" ht="8.4499999999999993" hidden="1" customHeight="1">
      <c r="X645" s="269"/>
      <c r="Y645" s="269"/>
      <c r="Z645" s="269"/>
      <c r="AA645" s="269"/>
      <c r="AB645" s="269"/>
      <c r="AC645" s="269"/>
      <c r="AD645" s="269"/>
      <c r="AE645" s="269"/>
      <c r="AF645" s="269"/>
      <c r="AG645" s="269"/>
      <c r="AH645" s="269"/>
      <c r="AI645" s="269"/>
      <c r="AJ645" s="269"/>
      <c r="AK645" s="269"/>
      <c r="AL645" s="269"/>
      <c r="AM645" s="269"/>
      <c r="AN645" s="269"/>
      <c r="AO645" s="269"/>
    </row>
    <row r="646" spans="24:41" ht="8.4499999999999993" hidden="1" customHeight="1">
      <c r="X646" s="269"/>
      <c r="Y646" s="269"/>
      <c r="Z646" s="269"/>
      <c r="AA646" s="269"/>
      <c r="AB646" s="269"/>
      <c r="AC646" s="269"/>
      <c r="AD646" s="269"/>
      <c r="AE646" s="269"/>
      <c r="AF646" s="269"/>
      <c r="AG646" s="269"/>
      <c r="AH646" s="269"/>
      <c r="AI646" s="269"/>
      <c r="AJ646" s="269"/>
      <c r="AK646" s="269"/>
      <c r="AL646" s="269"/>
      <c r="AM646" s="269"/>
      <c r="AN646" s="269"/>
      <c r="AO646" s="269"/>
    </row>
    <row r="647" spans="24:41" ht="8.4499999999999993" hidden="1" customHeight="1">
      <c r="X647" s="269"/>
      <c r="Y647" s="269"/>
      <c r="Z647" s="269"/>
      <c r="AA647" s="269"/>
      <c r="AB647" s="269"/>
      <c r="AC647" s="269"/>
      <c r="AD647" s="269"/>
      <c r="AE647" s="269"/>
      <c r="AF647" s="269"/>
      <c r="AG647" s="269"/>
      <c r="AH647" s="269"/>
      <c r="AI647" s="269"/>
      <c r="AJ647" s="269"/>
      <c r="AK647" s="269"/>
      <c r="AL647" s="269"/>
      <c r="AM647" s="269"/>
      <c r="AN647" s="269"/>
      <c r="AO647" s="269"/>
    </row>
    <row r="648" spans="24:41" ht="8.4499999999999993" hidden="1" customHeight="1">
      <c r="X648" s="269"/>
      <c r="Y648" s="269"/>
      <c r="Z648" s="269"/>
      <c r="AA648" s="269"/>
      <c r="AB648" s="269"/>
      <c r="AC648" s="269"/>
      <c r="AD648" s="269"/>
      <c r="AE648" s="269"/>
      <c r="AF648" s="269"/>
      <c r="AG648" s="269"/>
      <c r="AH648" s="269"/>
      <c r="AI648" s="269"/>
      <c r="AJ648" s="269"/>
      <c r="AK648" s="269"/>
      <c r="AL648" s="269"/>
      <c r="AM648" s="269"/>
      <c r="AN648" s="269"/>
      <c r="AO648" s="269"/>
    </row>
    <row r="649" spans="24:41" ht="8.4499999999999993" hidden="1" customHeight="1">
      <c r="X649" s="269"/>
      <c r="Y649" s="269"/>
      <c r="Z649" s="269"/>
      <c r="AA649" s="269"/>
      <c r="AB649" s="269"/>
      <c r="AC649" s="269"/>
      <c r="AD649" s="269"/>
      <c r="AE649" s="269"/>
      <c r="AF649" s="269"/>
      <c r="AG649" s="269"/>
      <c r="AH649" s="269"/>
      <c r="AI649" s="269"/>
      <c r="AJ649" s="269"/>
      <c r="AK649" s="269"/>
      <c r="AL649" s="269"/>
      <c r="AM649" s="269"/>
      <c r="AN649" s="269"/>
      <c r="AO649" s="269"/>
    </row>
    <row r="650" spans="24:41" ht="8.4499999999999993" hidden="1" customHeight="1">
      <c r="X650" s="269"/>
      <c r="Y650" s="269"/>
      <c r="Z650" s="269"/>
      <c r="AA650" s="269"/>
      <c r="AB650" s="269"/>
      <c r="AC650" s="269"/>
      <c r="AD650" s="269"/>
      <c r="AE650" s="269"/>
      <c r="AF650" s="269"/>
      <c r="AG650" s="269"/>
      <c r="AH650" s="269"/>
      <c r="AI650" s="269"/>
      <c r="AJ650" s="269"/>
      <c r="AK650" s="269"/>
      <c r="AL650" s="269"/>
      <c r="AM650" s="269"/>
      <c r="AN650" s="269"/>
      <c r="AO650" s="269"/>
    </row>
    <row r="651" spans="24:41" ht="8.4499999999999993" hidden="1" customHeight="1">
      <c r="X651" s="269"/>
      <c r="Y651" s="269"/>
      <c r="Z651" s="269"/>
      <c r="AA651" s="269"/>
      <c r="AB651" s="269"/>
      <c r="AC651" s="269"/>
      <c r="AD651" s="269"/>
      <c r="AE651" s="269"/>
      <c r="AF651" s="269"/>
      <c r="AG651" s="269"/>
      <c r="AH651" s="269"/>
      <c r="AI651" s="269"/>
      <c r="AJ651" s="269"/>
      <c r="AK651" s="269"/>
      <c r="AL651" s="269"/>
      <c r="AM651" s="269"/>
      <c r="AN651" s="269"/>
      <c r="AO651" s="269"/>
    </row>
    <row r="652" spans="24:41" ht="8.4499999999999993" hidden="1" customHeight="1">
      <c r="X652" s="269"/>
      <c r="Y652" s="269"/>
      <c r="Z652" s="269"/>
      <c r="AA652" s="269"/>
      <c r="AB652" s="269"/>
      <c r="AC652" s="269"/>
      <c r="AD652" s="269"/>
      <c r="AE652" s="269"/>
      <c r="AF652" s="269"/>
      <c r="AG652" s="269"/>
      <c r="AH652" s="269"/>
      <c r="AI652" s="269"/>
      <c r="AJ652" s="269"/>
      <c r="AK652" s="269"/>
      <c r="AL652" s="269"/>
      <c r="AM652" s="269"/>
      <c r="AN652" s="269"/>
      <c r="AO652" s="269"/>
    </row>
    <row r="653" spans="24:41" ht="8.4499999999999993" hidden="1" customHeight="1">
      <c r="X653" s="269"/>
      <c r="Y653" s="269"/>
      <c r="Z653" s="269"/>
      <c r="AA653" s="269"/>
      <c r="AB653" s="269"/>
      <c r="AC653" s="269"/>
      <c r="AD653" s="269"/>
      <c r="AE653" s="269"/>
      <c r="AF653" s="269"/>
      <c r="AG653" s="269"/>
      <c r="AH653" s="269"/>
      <c r="AI653" s="269"/>
      <c r="AJ653" s="269"/>
      <c r="AK653" s="269"/>
      <c r="AL653" s="269"/>
      <c r="AM653" s="269"/>
      <c r="AN653" s="269"/>
      <c r="AO653" s="269"/>
    </row>
    <row r="654" spans="24:41" ht="8.4499999999999993" hidden="1" customHeight="1">
      <c r="X654" s="269"/>
      <c r="Y654" s="269"/>
      <c r="Z654" s="269"/>
      <c r="AA654" s="269"/>
      <c r="AB654" s="269"/>
      <c r="AC654" s="269"/>
      <c r="AD654" s="269"/>
      <c r="AE654" s="269"/>
      <c r="AF654" s="269"/>
      <c r="AG654" s="269"/>
      <c r="AH654" s="269"/>
      <c r="AI654" s="269"/>
      <c r="AJ654" s="269"/>
      <c r="AK654" s="269"/>
      <c r="AL654" s="269"/>
      <c r="AM654" s="269"/>
      <c r="AN654" s="269"/>
      <c r="AO654" s="269"/>
    </row>
    <row r="655" spans="24:41" ht="8.4499999999999993" hidden="1" customHeight="1">
      <c r="X655" s="269"/>
      <c r="Y655" s="269"/>
      <c r="Z655" s="269"/>
      <c r="AA655" s="269"/>
      <c r="AB655" s="269"/>
      <c r="AC655" s="269"/>
      <c r="AD655" s="269"/>
      <c r="AE655" s="269"/>
      <c r="AF655" s="269"/>
      <c r="AG655" s="269"/>
      <c r="AH655" s="269"/>
      <c r="AI655" s="269"/>
      <c r="AJ655" s="269"/>
      <c r="AK655" s="269"/>
      <c r="AL655" s="269"/>
      <c r="AM655" s="269"/>
      <c r="AN655" s="269"/>
      <c r="AO655" s="269"/>
    </row>
    <row r="656" spans="24:41" ht="8.4499999999999993" hidden="1" customHeight="1">
      <c r="X656" s="269"/>
      <c r="Y656" s="269"/>
      <c r="Z656" s="269"/>
      <c r="AA656" s="269"/>
      <c r="AB656" s="269"/>
      <c r="AC656" s="269"/>
      <c r="AD656" s="269"/>
      <c r="AE656" s="269"/>
      <c r="AF656" s="269"/>
      <c r="AG656" s="269"/>
      <c r="AH656" s="269"/>
      <c r="AI656" s="269"/>
      <c r="AJ656" s="269"/>
      <c r="AK656" s="269"/>
      <c r="AL656" s="269"/>
      <c r="AM656" s="269"/>
      <c r="AN656" s="269"/>
      <c r="AO656" s="269"/>
    </row>
    <row r="657" spans="24:41" ht="8.4499999999999993" hidden="1" customHeight="1">
      <c r="X657" s="269"/>
      <c r="Y657" s="269"/>
      <c r="Z657" s="269"/>
      <c r="AA657" s="269"/>
      <c r="AB657" s="269"/>
      <c r="AC657" s="269"/>
      <c r="AD657" s="269"/>
      <c r="AE657" s="269"/>
      <c r="AF657" s="269"/>
      <c r="AG657" s="269"/>
      <c r="AH657" s="269"/>
      <c r="AI657" s="269"/>
      <c r="AJ657" s="269"/>
      <c r="AK657" s="269"/>
      <c r="AL657" s="269"/>
      <c r="AM657" s="269"/>
      <c r="AN657" s="269"/>
      <c r="AO657" s="269"/>
    </row>
    <row r="658" spans="24:41" ht="8.4499999999999993" hidden="1" customHeight="1">
      <c r="X658" s="269"/>
      <c r="Y658" s="269"/>
      <c r="Z658" s="269"/>
      <c r="AA658" s="269"/>
      <c r="AB658" s="269"/>
      <c r="AC658" s="269"/>
      <c r="AD658" s="269"/>
      <c r="AE658" s="269"/>
      <c r="AF658" s="269"/>
      <c r="AG658" s="269"/>
      <c r="AH658" s="269"/>
      <c r="AI658" s="269"/>
      <c r="AJ658" s="269"/>
      <c r="AK658" s="269"/>
      <c r="AL658" s="269"/>
      <c r="AM658" s="269"/>
      <c r="AN658" s="269"/>
      <c r="AO658" s="269"/>
    </row>
    <row r="659" spans="24:41" ht="8.4499999999999993" hidden="1" customHeight="1">
      <c r="X659" s="269"/>
      <c r="Y659" s="269"/>
      <c r="Z659" s="269"/>
      <c r="AA659" s="269"/>
      <c r="AB659" s="269"/>
      <c r="AC659" s="269"/>
      <c r="AD659" s="269"/>
      <c r="AE659" s="269"/>
      <c r="AF659" s="269"/>
      <c r="AG659" s="269"/>
      <c r="AH659" s="269"/>
      <c r="AI659" s="269"/>
      <c r="AJ659" s="269"/>
      <c r="AK659" s="269"/>
      <c r="AL659" s="269"/>
      <c r="AM659" s="269"/>
      <c r="AN659" s="269"/>
      <c r="AO659" s="269"/>
    </row>
    <row r="660" spans="24:41" ht="8.4499999999999993" hidden="1" customHeight="1">
      <c r="X660" s="269"/>
      <c r="Y660" s="269"/>
      <c r="Z660" s="269"/>
      <c r="AA660" s="269"/>
      <c r="AB660" s="269"/>
      <c r="AC660" s="269"/>
      <c r="AD660" s="269"/>
      <c r="AE660" s="269"/>
      <c r="AF660" s="269"/>
      <c r="AG660" s="269"/>
      <c r="AH660" s="269"/>
      <c r="AI660" s="269"/>
      <c r="AJ660" s="269"/>
      <c r="AK660" s="269"/>
      <c r="AL660" s="269"/>
      <c r="AM660" s="269"/>
      <c r="AN660" s="269"/>
      <c r="AO660" s="269"/>
    </row>
    <row r="661" spans="24:41" ht="8.4499999999999993" hidden="1" customHeight="1">
      <c r="X661" s="269"/>
      <c r="Y661" s="269"/>
      <c r="Z661" s="269"/>
      <c r="AA661" s="269"/>
      <c r="AB661" s="269"/>
      <c r="AC661" s="269"/>
      <c r="AD661" s="269"/>
      <c r="AE661" s="269"/>
      <c r="AF661" s="269"/>
      <c r="AG661" s="269"/>
      <c r="AH661" s="269"/>
      <c r="AI661" s="269"/>
      <c r="AJ661" s="269"/>
      <c r="AK661" s="269"/>
      <c r="AL661" s="269"/>
      <c r="AM661" s="269"/>
      <c r="AN661" s="269"/>
      <c r="AO661" s="269"/>
    </row>
    <row r="662" spans="24:41" ht="8.4499999999999993" hidden="1" customHeight="1">
      <c r="X662" s="269"/>
      <c r="Y662" s="269"/>
      <c r="Z662" s="269"/>
      <c r="AA662" s="269"/>
      <c r="AB662" s="269"/>
      <c r="AC662" s="269"/>
      <c r="AD662" s="269"/>
      <c r="AE662" s="269"/>
      <c r="AF662" s="269"/>
      <c r="AG662" s="269"/>
      <c r="AH662" s="269"/>
      <c r="AI662" s="269"/>
      <c r="AJ662" s="269"/>
      <c r="AK662" s="269"/>
      <c r="AL662" s="269"/>
      <c r="AM662" s="269"/>
      <c r="AN662" s="269"/>
      <c r="AO662" s="269"/>
    </row>
    <row r="663" spans="24:41" ht="8.4499999999999993" hidden="1" customHeight="1">
      <c r="X663" s="269"/>
      <c r="Y663" s="269"/>
      <c r="Z663" s="269"/>
      <c r="AA663" s="269"/>
      <c r="AB663" s="269"/>
      <c r="AC663" s="269"/>
      <c r="AD663" s="269"/>
      <c r="AE663" s="269"/>
      <c r="AF663" s="269"/>
      <c r="AG663" s="269"/>
      <c r="AH663" s="269"/>
      <c r="AI663" s="269"/>
      <c r="AJ663" s="269"/>
      <c r="AK663" s="269"/>
      <c r="AL663" s="269"/>
      <c r="AM663" s="269"/>
      <c r="AN663" s="269"/>
      <c r="AO663" s="269"/>
    </row>
    <row r="664" spans="24:41" ht="8.4499999999999993" hidden="1" customHeight="1">
      <c r="X664" s="269"/>
      <c r="Y664" s="269"/>
      <c r="Z664" s="269"/>
      <c r="AA664" s="269"/>
      <c r="AB664" s="269"/>
      <c r="AC664" s="269"/>
      <c r="AD664" s="269"/>
      <c r="AE664" s="269"/>
      <c r="AF664" s="269"/>
      <c r="AG664" s="269"/>
      <c r="AH664" s="269"/>
      <c r="AI664" s="269"/>
      <c r="AJ664" s="269"/>
      <c r="AK664" s="269"/>
      <c r="AL664" s="269"/>
      <c r="AM664" s="269"/>
      <c r="AN664" s="269"/>
      <c r="AO664" s="269"/>
    </row>
    <row r="665" spans="24:41" ht="8.4499999999999993" hidden="1" customHeight="1">
      <c r="X665" s="269"/>
      <c r="Y665" s="269"/>
      <c r="Z665" s="269"/>
      <c r="AA665" s="269"/>
      <c r="AB665" s="269"/>
      <c r="AC665" s="269"/>
      <c r="AD665" s="269"/>
      <c r="AE665" s="269"/>
      <c r="AF665" s="269"/>
      <c r="AG665" s="269"/>
      <c r="AH665" s="269"/>
      <c r="AI665" s="269"/>
      <c r="AJ665" s="269"/>
      <c r="AK665" s="269"/>
      <c r="AL665" s="269"/>
      <c r="AM665" s="269"/>
      <c r="AN665" s="269"/>
      <c r="AO665" s="269"/>
    </row>
    <row r="666" spans="24:41" ht="8.4499999999999993" hidden="1" customHeight="1">
      <c r="X666" s="269"/>
      <c r="Y666" s="269"/>
      <c r="Z666" s="269"/>
      <c r="AA666" s="269"/>
      <c r="AB666" s="269"/>
      <c r="AC666" s="269"/>
      <c r="AD666" s="269"/>
      <c r="AE666" s="269"/>
      <c r="AF666" s="269"/>
      <c r="AG666" s="269"/>
      <c r="AH666" s="269"/>
      <c r="AI666" s="269"/>
      <c r="AJ666" s="269"/>
      <c r="AK666" s="269"/>
      <c r="AL666" s="269"/>
      <c r="AM666" s="269"/>
      <c r="AN666" s="269"/>
      <c r="AO666" s="269"/>
    </row>
    <row r="667" spans="24:41" ht="8.4499999999999993" hidden="1" customHeight="1">
      <c r="X667" s="269"/>
      <c r="Y667" s="269"/>
      <c r="Z667" s="269"/>
      <c r="AA667" s="269"/>
      <c r="AB667" s="269"/>
      <c r="AC667" s="269"/>
      <c r="AD667" s="269"/>
      <c r="AE667" s="269"/>
      <c r="AF667" s="269"/>
      <c r="AG667" s="269"/>
      <c r="AH667" s="269"/>
      <c r="AI667" s="269"/>
      <c r="AJ667" s="269"/>
      <c r="AK667" s="269"/>
      <c r="AL667" s="269"/>
      <c r="AM667" s="269"/>
      <c r="AN667" s="269"/>
      <c r="AO667" s="269"/>
    </row>
    <row r="668" spans="24:41" ht="8.4499999999999993" hidden="1" customHeight="1">
      <c r="X668" s="269"/>
      <c r="Y668" s="269"/>
      <c r="Z668" s="269"/>
      <c r="AA668" s="269"/>
      <c r="AB668" s="269"/>
      <c r="AC668" s="269"/>
      <c r="AD668" s="269"/>
      <c r="AE668" s="269"/>
      <c r="AF668" s="269"/>
      <c r="AG668" s="269"/>
      <c r="AH668" s="269"/>
      <c r="AI668" s="269"/>
      <c r="AJ668" s="269"/>
      <c r="AK668" s="269"/>
      <c r="AL668" s="269"/>
      <c r="AM668" s="269"/>
      <c r="AN668" s="269"/>
      <c r="AO668" s="269"/>
    </row>
    <row r="669" spans="24:41" ht="8.4499999999999993" hidden="1" customHeight="1">
      <c r="X669" s="269"/>
      <c r="Y669" s="269"/>
      <c r="Z669" s="269"/>
      <c r="AA669" s="269"/>
      <c r="AB669" s="269"/>
      <c r="AC669" s="269"/>
      <c r="AD669" s="269"/>
      <c r="AE669" s="269"/>
      <c r="AF669" s="269"/>
      <c r="AG669" s="269"/>
      <c r="AH669" s="269"/>
      <c r="AI669" s="269"/>
      <c r="AJ669" s="269"/>
      <c r="AK669" s="269"/>
      <c r="AL669" s="269"/>
      <c r="AM669" s="269"/>
      <c r="AN669" s="269"/>
      <c r="AO669" s="269"/>
    </row>
    <row r="670" spans="24:41" ht="8.4499999999999993" hidden="1" customHeight="1">
      <c r="X670" s="269"/>
      <c r="Y670" s="269"/>
      <c r="Z670" s="269"/>
      <c r="AA670" s="269"/>
      <c r="AB670" s="269"/>
      <c r="AC670" s="269"/>
      <c r="AD670" s="269"/>
      <c r="AE670" s="269"/>
      <c r="AF670" s="269"/>
      <c r="AG670" s="269"/>
      <c r="AH670" s="269"/>
      <c r="AI670" s="269"/>
      <c r="AJ670" s="269"/>
      <c r="AK670" s="269"/>
      <c r="AL670" s="269"/>
      <c r="AM670" s="269"/>
      <c r="AN670" s="269"/>
      <c r="AO670" s="269"/>
    </row>
    <row r="671" spans="24:41" ht="8.4499999999999993" hidden="1" customHeight="1">
      <c r="X671" s="269"/>
      <c r="Y671" s="269"/>
      <c r="Z671" s="269"/>
      <c r="AA671" s="269"/>
      <c r="AB671" s="269"/>
      <c r="AC671" s="269"/>
      <c r="AD671" s="269"/>
      <c r="AE671" s="269"/>
      <c r="AF671" s="269"/>
      <c r="AG671" s="269"/>
      <c r="AH671" s="269"/>
      <c r="AI671" s="269"/>
      <c r="AJ671" s="269"/>
      <c r="AK671" s="269"/>
      <c r="AL671" s="269"/>
      <c r="AM671" s="269"/>
      <c r="AN671" s="269"/>
      <c r="AO671" s="269"/>
    </row>
    <row r="672" spans="24:41" ht="8.4499999999999993" hidden="1" customHeight="1">
      <c r="X672" s="269"/>
      <c r="Y672" s="269"/>
      <c r="Z672" s="269"/>
      <c r="AA672" s="269"/>
      <c r="AB672" s="269"/>
      <c r="AC672" s="269"/>
      <c r="AD672" s="269"/>
      <c r="AE672" s="269"/>
      <c r="AF672" s="269"/>
      <c r="AG672" s="269"/>
      <c r="AH672" s="269"/>
      <c r="AI672" s="269"/>
      <c r="AJ672" s="269"/>
      <c r="AK672" s="269"/>
      <c r="AL672" s="269"/>
      <c r="AM672" s="269"/>
      <c r="AN672" s="269"/>
      <c r="AO672" s="269"/>
    </row>
    <row r="673" spans="24:41" ht="8.4499999999999993" hidden="1" customHeight="1">
      <c r="X673" s="269"/>
      <c r="Y673" s="269"/>
      <c r="Z673" s="269"/>
      <c r="AA673" s="269"/>
      <c r="AB673" s="269"/>
      <c r="AC673" s="269"/>
      <c r="AD673" s="269"/>
      <c r="AE673" s="269"/>
      <c r="AF673" s="269"/>
      <c r="AG673" s="269"/>
      <c r="AH673" s="269"/>
      <c r="AI673" s="269"/>
      <c r="AJ673" s="269"/>
      <c r="AK673" s="269"/>
      <c r="AL673" s="269"/>
      <c r="AM673" s="269"/>
      <c r="AN673" s="269"/>
      <c r="AO673" s="269"/>
    </row>
    <row r="674" spans="24:41" ht="8.4499999999999993" hidden="1" customHeight="1">
      <c r="X674" s="269"/>
      <c r="Y674" s="269"/>
      <c r="Z674" s="269"/>
      <c r="AA674" s="269"/>
      <c r="AB674" s="269"/>
      <c r="AC674" s="269"/>
      <c r="AD674" s="269"/>
      <c r="AE674" s="269"/>
      <c r="AF674" s="269"/>
      <c r="AG674" s="269"/>
      <c r="AH674" s="269"/>
      <c r="AI674" s="269"/>
      <c r="AJ674" s="269"/>
      <c r="AK674" s="269"/>
      <c r="AL674" s="269"/>
      <c r="AM674" s="269"/>
      <c r="AN674" s="269"/>
      <c r="AO674" s="269"/>
    </row>
    <row r="675" spans="24:41" ht="8.4499999999999993" hidden="1" customHeight="1">
      <c r="X675" s="269"/>
      <c r="Y675" s="269"/>
      <c r="Z675" s="269"/>
      <c r="AA675" s="269"/>
      <c r="AB675" s="269"/>
      <c r="AC675" s="269"/>
      <c r="AD675" s="269"/>
      <c r="AE675" s="269"/>
      <c r="AF675" s="269"/>
      <c r="AG675" s="269"/>
      <c r="AH675" s="269"/>
      <c r="AI675" s="269"/>
      <c r="AJ675" s="269"/>
      <c r="AK675" s="269"/>
      <c r="AL675" s="269"/>
      <c r="AM675" s="269"/>
      <c r="AN675" s="269"/>
      <c r="AO675" s="269"/>
    </row>
    <row r="676" spans="24:41" ht="8.4499999999999993" hidden="1" customHeight="1">
      <c r="X676" s="269"/>
      <c r="Y676" s="269"/>
      <c r="Z676" s="269"/>
      <c r="AA676" s="269"/>
      <c r="AB676" s="269"/>
      <c r="AC676" s="269"/>
      <c r="AD676" s="269"/>
      <c r="AE676" s="269"/>
      <c r="AF676" s="269"/>
      <c r="AG676" s="269"/>
      <c r="AH676" s="269"/>
      <c r="AI676" s="269"/>
      <c r="AJ676" s="269"/>
      <c r="AK676" s="269"/>
      <c r="AL676" s="269"/>
      <c r="AM676" s="269"/>
      <c r="AN676" s="269"/>
      <c r="AO676" s="269"/>
    </row>
    <row r="677" spans="24:41" ht="8.4499999999999993" hidden="1" customHeight="1">
      <c r="X677" s="269"/>
      <c r="Y677" s="269"/>
      <c r="Z677" s="269"/>
      <c r="AA677" s="269"/>
      <c r="AB677" s="269"/>
      <c r="AC677" s="269"/>
      <c r="AD677" s="269"/>
      <c r="AE677" s="269"/>
      <c r="AF677" s="269"/>
      <c r="AG677" s="269"/>
      <c r="AH677" s="269"/>
      <c r="AI677" s="269"/>
      <c r="AJ677" s="269"/>
      <c r="AK677" s="269"/>
      <c r="AL677" s="269"/>
      <c r="AM677" s="269"/>
      <c r="AN677" s="269"/>
      <c r="AO677" s="269"/>
    </row>
    <row r="678" spans="24:41" ht="8.4499999999999993" hidden="1" customHeight="1">
      <c r="X678" s="269"/>
      <c r="Y678" s="269"/>
      <c r="Z678" s="269"/>
      <c r="AA678" s="269"/>
      <c r="AB678" s="269"/>
      <c r="AC678" s="269"/>
      <c r="AD678" s="269"/>
      <c r="AE678" s="269"/>
      <c r="AF678" s="269"/>
      <c r="AG678" s="269"/>
      <c r="AH678" s="269"/>
      <c r="AI678" s="269"/>
      <c r="AJ678" s="269"/>
      <c r="AK678" s="269"/>
      <c r="AL678" s="269"/>
      <c r="AM678" s="269"/>
      <c r="AN678" s="269"/>
      <c r="AO678" s="269"/>
    </row>
    <row r="679" spans="24:41" ht="8.4499999999999993" hidden="1" customHeight="1">
      <c r="X679" s="269"/>
      <c r="Y679" s="269"/>
      <c r="Z679" s="269"/>
      <c r="AA679" s="269"/>
      <c r="AB679" s="269"/>
      <c r="AC679" s="269"/>
      <c r="AD679" s="269"/>
      <c r="AE679" s="269"/>
      <c r="AF679" s="269"/>
      <c r="AG679" s="269"/>
      <c r="AH679" s="269"/>
      <c r="AI679" s="269"/>
      <c r="AJ679" s="269"/>
      <c r="AK679" s="269"/>
      <c r="AL679" s="269"/>
      <c r="AM679" s="269"/>
      <c r="AN679" s="269"/>
      <c r="AO679" s="269"/>
    </row>
    <row r="680" spans="24:41" ht="8.4499999999999993" hidden="1" customHeight="1">
      <c r="X680" s="269"/>
      <c r="Y680" s="269"/>
      <c r="Z680" s="269"/>
      <c r="AA680" s="269"/>
      <c r="AB680" s="269"/>
      <c r="AC680" s="269"/>
      <c r="AD680" s="269"/>
      <c r="AE680" s="269"/>
      <c r="AF680" s="269"/>
      <c r="AG680" s="269"/>
      <c r="AH680" s="269"/>
      <c r="AI680" s="269"/>
      <c r="AJ680" s="269"/>
      <c r="AK680" s="269"/>
      <c r="AL680" s="269"/>
      <c r="AM680" s="269"/>
      <c r="AN680" s="269"/>
      <c r="AO680" s="269"/>
    </row>
    <row r="681" spans="24:41" ht="8.4499999999999993" hidden="1" customHeight="1">
      <c r="X681" s="269"/>
      <c r="Y681" s="269"/>
      <c r="Z681" s="269"/>
      <c r="AA681" s="269"/>
      <c r="AB681" s="269"/>
      <c r="AC681" s="269"/>
      <c r="AD681" s="269"/>
      <c r="AE681" s="269"/>
      <c r="AF681" s="269"/>
      <c r="AG681" s="269"/>
      <c r="AH681" s="269"/>
      <c r="AI681" s="269"/>
      <c r="AJ681" s="269"/>
      <c r="AK681" s="269"/>
      <c r="AL681" s="269"/>
      <c r="AM681" s="269"/>
      <c r="AN681" s="269"/>
      <c r="AO681" s="269"/>
    </row>
    <row r="682" spans="24:41" ht="8.4499999999999993" hidden="1" customHeight="1">
      <c r="X682" s="269"/>
      <c r="Y682" s="269"/>
      <c r="Z682" s="269"/>
      <c r="AA682" s="269"/>
      <c r="AB682" s="269"/>
      <c r="AC682" s="269"/>
      <c r="AD682" s="269"/>
      <c r="AE682" s="269"/>
      <c r="AF682" s="269"/>
      <c r="AG682" s="269"/>
      <c r="AH682" s="269"/>
      <c r="AI682" s="269"/>
      <c r="AJ682" s="269"/>
      <c r="AK682" s="269"/>
      <c r="AL682" s="269"/>
      <c r="AM682" s="269"/>
      <c r="AN682" s="269"/>
      <c r="AO682" s="269"/>
    </row>
    <row r="683" spans="24:41" ht="8.4499999999999993" hidden="1" customHeight="1">
      <c r="X683" s="269"/>
      <c r="Y683" s="269"/>
      <c r="Z683" s="269"/>
      <c r="AA683" s="269"/>
      <c r="AB683" s="269"/>
      <c r="AC683" s="269"/>
      <c r="AD683" s="269"/>
      <c r="AE683" s="269"/>
      <c r="AF683" s="269"/>
      <c r="AG683" s="269"/>
      <c r="AH683" s="269"/>
      <c r="AI683" s="269"/>
      <c r="AJ683" s="269"/>
      <c r="AK683" s="269"/>
      <c r="AL683" s="269"/>
      <c r="AM683" s="269"/>
      <c r="AN683" s="269"/>
      <c r="AO683" s="269"/>
    </row>
    <row r="684" spans="24:41" ht="8.4499999999999993" hidden="1" customHeight="1">
      <c r="X684" s="269"/>
      <c r="Y684" s="269"/>
      <c r="Z684" s="269"/>
      <c r="AA684" s="269"/>
      <c r="AB684" s="269"/>
      <c r="AC684" s="269"/>
      <c r="AD684" s="269"/>
      <c r="AE684" s="269"/>
      <c r="AF684" s="269"/>
      <c r="AG684" s="269"/>
      <c r="AH684" s="269"/>
      <c r="AI684" s="269"/>
      <c r="AJ684" s="269"/>
      <c r="AK684" s="269"/>
      <c r="AL684" s="269"/>
      <c r="AM684" s="269"/>
      <c r="AN684" s="269"/>
      <c r="AO684" s="269"/>
    </row>
    <row r="685" spans="24:41" ht="8.4499999999999993" hidden="1" customHeight="1">
      <c r="X685" s="269"/>
      <c r="Y685" s="269"/>
      <c r="Z685" s="269"/>
      <c r="AA685" s="269"/>
      <c r="AB685" s="269"/>
      <c r="AC685" s="269"/>
      <c r="AD685" s="269"/>
      <c r="AE685" s="269"/>
      <c r="AF685" s="269"/>
      <c r="AG685" s="269"/>
      <c r="AH685" s="269"/>
      <c r="AI685" s="269"/>
      <c r="AJ685" s="269"/>
      <c r="AK685" s="269"/>
      <c r="AL685" s="269"/>
      <c r="AM685" s="269"/>
      <c r="AN685" s="269"/>
      <c r="AO685" s="269"/>
    </row>
    <row r="686" spans="24:41" ht="8.4499999999999993" hidden="1" customHeight="1">
      <c r="X686" s="269"/>
      <c r="Y686" s="269"/>
      <c r="Z686" s="269"/>
      <c r="AA686" s="269"/>
      <c r="AB686" s="269"/>
      <c r="AC686" s="269"/>
      <c r="AD686" s="269"/>
      <c r="AE686" s="269"/>
      <c r="AF686" s="269"/>
      <c r="AG686" s="269"/>
      <c r="AH686" s="269"/>
      <c r="AI686" s="269"/>
      <c r="AJ686" s="269"/>
      <c r="AK686" s="269"/>
      <c r="AL686" s="269"/>
      <c r="AM686" s="269"/>
      <c r="AN686" s="269"/>
      <c r="AO686" s="269"/>
    </row>
    <row r="687" spans="24:41" ht="8.4499999999999993" hidden="1" customHeight="1">
      <c r="X687" s="269"/>
      <c r="Y687" s="269"/>
      <c r="Z687" s="269"/>
      <c r="AA687" s="269"/>
      <c r="AB687" s="269"/>
      <c r="AC687" s="269"/>
      <c r="AD687" s="269"/>
      <c r="AE687" s="269"/>
      <c r="AF687" s="269"/>
      <c r="AG687" s="269"/>
      <c r="AH687" s="269"/>
      <c r="AI687" s="269"/>
      <c r="AJ687" s="269"/>
      <c r="AK687" s="269"/>
      <c r="AL687" s="269"/>
      <c r="AM687" s="269"/>
      <c r="AN687" s="269"/>
      <c r="AO687" s="269"/>
    </row>
    <row r="688" spans="24:41" ht="8.4499999999999993" hidden="1" customHeight="1">
      <c r="X688" s="269"/>
      <c r="Y688" s="269"/>
      <c r="Z688" s="269"/>
      <c r="AA688" s="269"/>
      <c r="AB688" s="269"/>
      <c r="AC688" s="269"/>
      <c r="AD688" s="269"/>
      <c r="AE688" s="269"/>
      <c r="AF688" s="269"/>
      <c r="AG688" s="269"/>
      <c r="AH688" s="269"/>
      <c r="AI688" s="269"/>
      <c r="AJ688" s="269"/>
      <c r="AK688" s="269"/>
      <c r="AL688" s="269"/>
      <c r="AM688" s="269"/>
      <c r="AN688" s="269"/>
      <c r="AO688" s="269"/>
    </row>
    <row r="689" spans="24:41" ht="8.4499999999999993" hidden="1" customHeight="1">
      <c r="X689" s="269"/>
      <c r="Y689" s="269"/>
      <c r="Z689" s="269"/>
      <c r="AA689" s="269"/>
      <c r="AB689" s="269"/>
      <c r="AC689" s="269"/>
      <c r="AD689" s="269"/>
      <c r="AE689" s="269"/>
      <c r="AF689" s="269"/>
      <c r="AG689" s="269"/>
      <c r="AH689" s="269"/>
      <c r="AI689" s="269"/>
      <c r="AJ689" s="269"/>
      <c r="AK689" s="269"/>
      <c r="AL689" s="269"/>
      <c r="AM689" s="269"/>
      <c r="AN689" s="269"/>
      <c r="AO689" s="269"/>
    </row>
    <row r="690" spans="24:41" ht="8.4499999999999993" hidden="1" customHeight="1">
      <c r="X690" s="269"/>
      <c r="Y690" s="269"/>
      <c r="Z690" s="269"/>
      <c r="AA690" s="269"/>
      <c r="AB690" s="269"/>
      <c r="AC690" s="269"/>
      <c r="AD690" s="269"/>
      <c r="AE690" s="269"/>
      <c r="AF690" s="269"/>
      <c r="AG690" s="269"/>
      <c r="AH690" s="269"/>
      <c r="AI690" s="269"/>
      <c r="AJ690" s="269"/>
      <c r="AK690" s="269"/>
      <c r="AL690" s="269"/>
      <c r="AM690" s="269"/>
      <c r="AN690" s="269"/>
      <c r="AO690" s="269"/>
    </row>
    <row r="691" spans="24:41" ht="8.4499999999999993" hidden="1" customHeight="1">
      <c r="X691" s="269"/>
      <c r="Y691" s="269"/>
      <c r="Z691" s="269"/>
      <c r="AA691" s="269"/>
      <c r="AB691" s="269"/>
      <c r="AC691" s="269"/>
      <c r="AD691" s="269"/>
      <c r="AE691" s="269"/>
      <c r="AF691" s="269"/>
      <c r="AG691" s="269"/>
      <c r="AH691" s="269"/>
      <c r="AI691" s="269"/>
      <c r="AJ691" s="269"/>
      <c r="AK691" s="269"/>
      <c r="AL691" s="269"/>
      <c r="AM691" s="269"/>
      <c r="AN691" s="269"/>
      <c r="AO691" s="269"/>
    </row>
    <row r="692" spans="24:41" ht="8.4499999999999993" hidden="1" customHeight="1">
      <c r="X692" s="269"/>
      <c r="Y692" s="269"/>
      <c r="Z692" s="269"/>
      <c r="AA692" s="269"/>
      <c r="AB692" s="269"/>
      <c r="AC692" s="269"/>
      <c r="AD692" s="269"/>
      <c r="AE692" s="269"/>
      <c r="AF692" s="269"/>
      <c r="AG692" s="269"/>
      <c r="AH692" s="269"/>
      <c r="AI692" s="269"/>
      <c r="AJ692" s="269"/>
      <c r="AK692" s="269"/>
      <c r="AL692" s="269"/>
      <c r="AM692" s="269"/>
      <c r="AN692" s="269"/>
      <c r="AO692" s="269"/>
    </row>
    <row r="693" spans="24:41" ht="8.4499999999999993" hidden="1" customHeight="1">
      <c r="X693" s="269"/>
      <c r="Y693" s="269"/>
      <c r="Z693" s="269"/>
      <c r="AA693" s="269"/>
      <c r="AB693" s="269"/>
      <c r="AC693" s="269"/>
      <c r="AD693" s="269"/>
      <c r="AE693" s="269"/>
      <c r="AF693" s="269"/>
      <c r="AG693" s="269"/>
      <c r="AH693" s="269"/>
      <c r="AI693" s="269"/>
      <c r="AJ693" s="269"/>
      <c r="AK693" s="269"/>
      <c r="AL693" s="269"/>
      <c r="AM693" s="269"/>
      <c r="AN693" s="269"/>
      <c r="AO693" s="269"/>
    </row>
    <row r="694" spans="24:41" ht="8.4499999999999993" hidden="1" customHeight="1">
      <c r="X694" s="269"/>
      <c r="Y694" s="269"/>
      <c r="Z694" s="269"/>
      <c r="AA694" s="269"/>
      <c r="AB694" s="269"/>
      <c r="AC694" s="269"/>
      <c r="AD694" s="269"/>
      <c r="AE694" s="269"/>
      <c r="AF694" s="269"/>
      <c r="AG694" s="269"/>
      <c r="AH694" s="269"/>
      <c r="AI694" s="269"/>
      <c r="AJ694" s="269"/>
      <c r="AK694" s="269"/>
      <c r="AL694" s="269"/>
      <c r="AM694" s="269"/>
      <c r="AN694" s="269"/>
      <c r="AO694" s="269"/>
    </row>
    <row r="695" spans="24:41" ht="8.4499999999999993" hidden="1" customHeight="1">
      <c r="X695" s="269"/>
      <c r="Y695" s="269"/>
      <c r="Z695" s="269"/>
      <c r="AA695" s="269"/>
      <c r="AB695" s="269"/>
      <c r="AC695" s="269"/>
      <c r="AD695" s="269"/>
      <c r="AE695" s="269"/>
      <c r="AF695" s="269"/>
      <c r="AG695" s="269"/>
      <c r="AH695" s="269"/>
      <c r="AI695" s="269"/>
      <c r="AJ695" s="269"/>
      <c r="AK695" s="269"/>
      <c r="AL695" s="269"/>
      <c r="AM695" s="269"/>
      <c r="AN695" s="269"/>
      <c r="AO695" s="269"/>
    </row>
    <row r="696" spans="24:41" ht="8.4499999999999993" hidden="1" customHeight="1">
      <c r="X696" s="269"/>
      <c r="Y696" s="269"/>
      <c r="Z696" s="269"/>
      <c r="AA696" s="269"/>
      <c r="AB696" s="269"/>
      <c r="AC696" s="269"/>
      <c r="AD696" s="269"/>
      <c r="AE696" s="269"/>
      <c r="AF696" s="269"/>
      <c r="AG696" s="269"/>
      <c r="AH696" s="269"/>
      <c r="AI696" s="269"/>
      <c r="AJ696" s="269"/>
      <c r="AK696" s="269"/>
      <c r="AL696" s="269"/>
      <c r="AM696" s="269"/>
      <c r="AN696" s="269"/>
      <c r="AO696" s="269"/>
    </row>
    <row r="697" spans="24:41" ht="8.4499999999999993" hidden="1" customHeight="1">
      <c r="X697" s="269"/>
      <c r="Y697" s="269"/>
      <c r="Z697" s="269"/>
      <c r="AA697" s="269"/>
      <c r="AB697" s="269"/>
      <c r="AC697" s="269"/>
      <c r="AD697" s="269"/>
      <c r="AE697" s="269"/>
      <c r="AF697" s="269"/>
      <c r="AG697" s="269"/>
      <c r="AH697" s="269"/>
      <c r="AI697" s="269"/>
      <c r="AJ697" s="269"/>
      <c r="AK697" s="269"/>
      <c r="AL697" s="269"/>
      <c r="AM697" s="269"/>
      <c r="AN697" s="269"/>
      <c r="AO697" s="269"/>
    </row>
    <row r="698" spans="24:41" ht="8.4499999999999993" hidden="1" customHeight="1">
      <c r="X698" s="269"/>
      <c r="Y698" s="269"/>
      <c r="Z698" s="269"/>
      <c r="AA698" s="269"/>
      <c r="AB698" s="269"/>
      <c r="AC698" s="269"/>
      <c r="AD698" s="269"/>
      <c r="AE698" s="269"/>
      <c r="AF698" s="269"/>
      <c r="AG698" s="269"/>
      <c r="AH698" s="269"/>
      <c r="AI698" s="269"/>
      <c r="AJ698" s="269"/>
      <c r="AK698" s="269"/>
      <c r="AL698" s="269"/>
      <c r="AM698" s="269"/>
      <c r="AN698" s="269"/>
      <c r="AO698" s="269"/>
    </row>
    <row r="699" spans="24:41" ht="8.4499999999999993" hidden="1" customHeight="1">
      <c r="X699" s="269"/>
      <c r="Y699" s="269"/>
      <c r="Z699" s="269"/>
      <c r="AA699" s="269"/>
      <c r="AB699" s="269"/>
      <c r="AC699" s="269"/>
      <c r="AD699" s="269"/>
      <c r="AE699" s="269"/>
      <c r="AF699" s="269"/>
      <c r="AG699" s="269"/>
      <c r="AH699" s="269"/>
      <c r="AI699" s="269"/>
      <c r="AJ699" s="269"/>
      <c r="AK699" s="269"/>
      <c r="AL699" s="269"/>
      <c r="AM699" s="269"/>
      <c r="AN699" s="269"/>
      <c r="AO699" s="269"/>
    </row>
    <row r="700" spans="24:41" ht="8.4499999999999993" hidden="1" customHeight="1">
      <c r="X700" s="269"/>
      <c r="Y700" s="269"/>
      <c r="Z700" s="269"/>
      <c r="AA700" s="269"/>
      <c r="AB700" s="269"/>
      <c r="AC700" s="269"/>
      <c r="AD700" s="269"/>
      <c r="AE700" s="269"/>
      <c r="AF700" s="269"/>
      <c r="AG700" s="269"/>
      <c r="AH700" s="269"/>
      <c r="AI700" s="269"/>
      <c r="AJ700" s="269"/>
      <c r="AK700" s="269"/>
      <c r="AL700" s="269"/>
      <c r="AM700" s="269"/>
      <c r="AN700" s="269"/>
      <c r="AO700" s="269"/>
    </row>
    <row r="701" spans="24:41" ht="8.4499999999999993" hidden="1" customHeight="1">
      <c r="X701" s="269"/>
      <c r="Y701" s="269"/>
      <c r="Z701" s="269"/>
      <c r="AA701" s="269"/>
      <c r="AB701" s="269"/>
      <c r="AC701" s="269"/>
      <c r="AD701" s="269"/>
      <c r="AE701" s="269"/>
      <c r="AF701" s="269"/>
      <c r="AG701" s="269"/>
      <c r="AH701" s="269"/>
      <c r="AI701" s="269"/>
      <c r="AJ701" s="269"/>
      <c r="AK701" s="269"/>
      <c r="AL701" s="269"/>
      <c r="AM701" s="269"/>
      <c r="AN701" s="269"/>
      <c r="AO701" s="269"/>
    </row>
    <row r="702" spans="24:41" ht="8.4499999999999993" hidden="1" customHeight="1">
      <c r="X702" s="269"/>
      <c r="Y702" s="269"/>
      <c r="Z702" s="269"/>
      <c r="AA702" s="269"/>
      <c r="AB702" s="269"/>
      <c r="AC702" s="269"/>
      <c r="AD702" s="269"/>
      <c r="AE702" s="269"/>
      <c r="AF702" s="269"/>
      <c r="AG702" s="269"/>
      <c r="AH702" s="269"/>
      <c r="AI702" s="269"/>
      <c r="AJ702" s="269"/>
      <c r="AK702" s="269"/>
      <c r="AL702" s="269"/>
      <c r="AM702" s="269"/>
      <c r="AN702" s="269"/>
      <c r="AO702" s="269"/>
    </row>
    <row r="703" spans="24:41" ht="8.4499999999999993" hidden="1" customHeight="1">
      <c r="X703" s="269"/>
      <c r="Y703" s="269"/>
      <c r="Z703" s="269"/>
      <c r="AA703" s="269"/>
      <c r="AB703" s="269"/>
      <c r="AC703" s="269"/>
      <c r="AD703" s="269"/>
      <c r="AE703" s="269"/>
      <c r="AF703" s="269"/>
      <c r="AG703" s="269"/>
      <c r="AH703" s="269"/>
      <c r="AI703" s="269"/>
      <c r="AJ703" s="269"/>
      <c r="AK703" s="269"/>
      <c r="AL703" s="269"/>
      <c r="AM703" s="269"/>
      <c r="AN703" s="269"/>
      <c r="AO703" s="269"/>
    </row>
    <row r="704" spans="24:41" ht="8.4499999999999993" hidden="1" customHeight="1">
      <c r="X704" s="269"/>
      <c r="Y704" s="269"/>
      <c r="Z704" s="269"/>
      <c r="AA704" s="269"/>
      <c r="AB704" s="269"/>
      <c r="AC704" s="269"/>
      <c r="AD704" s="269"/>
      <c r="AE704" s="269"/>
      <c r="AF704" s="269"/>
      <c r="AG704" s="269"/>
      <c r="AH704" s="269"/>
      <c r="AI704" s="269"/>
      <c r="AJ704" s="269"/>
      <c r="AK704" s="269"/>
      <c r="AL704" s="269"/>
      <c r="AM704" s="269"/>
      <c r="AN704" s="269"/>
      <c r="AO704" s="269"/>
    </row>
    <row r="705" spans="24:41" ht="8.4499999999999993" hidden="1" customHeight="1">
      <c r="X705" s="269"/>
      <c r="Y705" s="269"/>
      <c r="Z705" s="269"/>
      <c r="AA705" s="269"/>
      <c r="AB705" s="269"/>
      <c r="AC705" s="269"/>
      <c r="AD705" s="269"/>
      <c r="AE705" s="269"/>
      <c r="AF705" s="269"/>
      <c r="AG705" s="269"/>
      <c r="AH705" s="269"/>
      <c r="AI705" s="269"/>
      <c r="AJ705" s="269"/>
      <c r="AK705" s="269"/>
      <c r="AL705" s="269"/>
      <c r="AM705" s="269"/>
      <c r="AN705" s="269"/>
      <c r="AO705" s="269"/>
    </row>
    <row r="706" spans="24:41" ht="8.4499999999999993" hidden="1" customHeight="1">
      <c r="X706" s="269"/>
      <c r="Y706" s="269"/>
      <c r="Z706" s="269"/>
      <c r="AA706" s="269"/>
      <c r="AB706" s="269"/>
      <c r="AC706" s="269"/>
      <c r="AD706" s="269"/>
      <c r="AE706" s="269"/>
      <c r="AF706" s="269"/>
      <c r="AG706" s="269"/>
      <c r="AH706" s="269"/>
      <c r="AI706" s="269"/>
      <c r="AJ706" s="269"/>
      <c r="AK706" s="269"/>
      <c r="AL706" s="269"/>
      <c r="AM706" s="269"/>
      <c r="AN706" s="269"/>
      <c r="AO706" s="269"/>
    </row>
    <row r="707" spans="24:41" ht="8.4499999999999993" hidden="1" customHeight="1">
      <c r="X707" s="269"/>
      <c r="Y707" s="269"/>
      <c r="Z707" s="269"/>
      <c r="AA707" s="269"/>
      <c r="AB707" s="269"/>
      <c r="AC707" s="269"/>
      <c r="AD707" s="269"/>
      <c r="AE707" s="269"/>
      <c r="AF707" s="269"/>
      <c r="AG707" s="269"/>
      <c r="AH707" s="269"/>
      <c r="AI707" s="269"/>
      <c r="AJ707" s="269"/>
      <c r="AK707" s="269"/>
      <c r="AL707" s="269"/>
      <c r="AM707" s="269"/>
      <c r="AN707" s="269"/>
      <c r="AO707" s="269"/>
    </row>
    <row r="708" spans="24:41" ht="8.4499999999999993" hidden="1" customHeight="1">
      <c r="X708" s="269"/>
      <c r="Y708" s="269"/>
      <c r="Z708" s="269"/>
      <c r="AA708" s="269"/>
      <c r="AB708" s="269"/>
      <c r="AC708" s="269"/>
      <c r="AD708" s="269"/>
      <c r="AE708" s="269"/>
      <c r="AF708" s="269"/>
      <c r="AG708" s="269"/>
      <c r="AH708" s="269"/>
      <c r="AI708" s="269"/>
      <c r="AJ708" s="269"/>
      <c r="AK708" s="269"/>
      <c r="AL708" s="269"/>
      <c r="AM708" s="269"/>
      <c r="AN708" s="269"/>
      <c r="AO708" s="269"/>
    </row>
    <row r="709" spans="24:41" ht="8.4499999999999993" hidden="1" customHeight="1">
      <c r="X709" s="269"/>
      <c r="Y709" s="269"/>
      <c r="Z709" s="269"/>
      <c r="AA709" s="269"/>
      <c r="AB709" s="269"/>
      <c r="AC709" s="269"/>
      <c r="AD709" s="269"/>
      <c r="AE709" s="269"/>
      <c r="AF709" s="269"/>
      <c r="AG709" s="269"/>
      <c r="AH709" s="269"/>
      <c r="AI709" s="269"/>
      <c r="AJ709" s="269"/>
      <c r="AK709" s="269"/>
      <c r="AL709" s="269"/>
      <c r="AM709" s="269"/>
      <c r="AN709" s="269"/>
      <c r="AO709" s="269"/>
    </row>
    <row r="710" spans="24:41" ht="8.4499999999999993" hidden="1" customHeight="1">
      <c r="X710" s="269"/>
      <c r="Y710" s="269"/>
      <c r="Z710" s="269"/>
      <c r="AA710" s="269"/>
      <c r="AB710" s="269"/>
      <c r="AC710" s="269"/>
      <c r="AD710" s="269"/>
      <c r="AE710" s="269"/>
      <c r="AF710" s="269"/>
      <c r="AG710" s="269"/>
      <c r="AH710" s="269"/>
      <c r="AI710" s="269"/>
      <c r="AJ710" s="269"/>
      <c r="AK710" s="269"/>
      <c r="AL710" s="269"/>
      <c r="AM710" s="269"/>
      <c r="AN710" s="269"/>
      <c r="AO710" s="269"/>
    </row>
    <row r="711" spans="24:41" ht="8.4499999999999993" hidden="1" customHeight="1">
      <c r="X711" s="269"/>
      <c r="Y711" s="269"/>
      <c r="Z711" s="269"/>
      <c r="AA711" s="269"/>
      <c r="AB711" s="269"/>
      <c r="AC711" s="269"/>
      <c r="AD711" s="269"/>
      <c r="AE711" s="269"/>
      <c r="AF711" s="269"/>
      <c r="AG711" s="269"/>
      <c r="AH711" s="269"/>
      <c r="AI711" s="269"/>
      <c r="AJ711" s="269"/>
      <c r="AK711" s="269"/>
      <c r="AL711" s="269"/>
      <c r="AM711" s="269"/>
      <c r="AN711" s="269"/>
      <c r="AO711" s="269"/>
    </row>
    <row r="712" spans="24:41" ht="8.4499999999999993" hidden="1" customHeight="1">
      <c r="X712" s="269"/>
      <c r="Y712" s="269"/>
      <c r="Z712" s="269"/>
      <c r="AA712" s="269"/>
      <c r="AB712" s="269"/>
      <c r="AC712" s="269"/>
      <c r="AD712" s="269"/>
      <c r="AE712" s="269"/>
      <c r="AF712" s="269"/>
      <c r="AG712" s="269"/>
      <c r="AH712" s="269"/>
      <c r="AI712" s="269"/>
      <c r="AJ712" s="269"/>
      <c r="AK712" s="269"/>
      <c r="AL712" s="269"/>
      <c r="AM712" s="269"/>
      <c r="AN712" s="269"/>
      <c r="AO712" s="269"/>
    </row>
    <row r="713" spans="24:41" ht="8.4499999999999993" hidden="1" customHeight="1">
      <c r="X713" s="269"/>
      <c r="Y713" s="269"/>
      <c r="Z713" s="269"/>
      <c r="AA713" s="269"/>
      <c r="AB713" s="269"/>
      <c r="AC713" s="269"/>
      <c r="AD713" s="269"/>
      <c r="AE713" s="269"/>
      <c r="AF713" s="269"/>
      <c r="AG713" s="269"/>
      <c r="AH713" s="269"/>
      <c r="AI713" s="269"/>
      <c r="AJ713" s="269"/>
      <c r="AK713" s="269"/>
      <c r="AL713" s="269"/>
      <c r="AM713" s="269"/>
      <c r="AN713" s="269"/>
      <c r="AO713" s="269"/>
    </row>
    <row r="714" spans="24:41" ht="8.4499999999999993" hidden="1" customHeight="1">
      <c r="X714" s="269"/>
      <c r="Y714" s="269"/>
      <c r="Z714" s="269"/>
      <c r="AA714" s="269"/>
      <c r="AB714" s="269"/>
      <c r="AC714" s="269"/>
      <c r="AD714" s="269"/>
      <c r="AE714" s="269"/>
      <c r="AF714" s="269"/>
      <c r="AG714" s="269"/>
      <c r="AH714" s="269"/>
      <c r="AI714" s="269"/>
      <c r="AJ714" s="269"/>
      <c r="AK714" s="269"/>
      <c r="AL714" s="269"/>
      <c r="AM714" s="269"/>
      <c r="AN714" s="269"/>
      <c r="AO714" s="269"/>
    </row>
    <row r="715" spans="24:41" ht="8.4499999999999993" hidden="1" customHeight="1">
      <c r="X715" s="269"/>
      <c r="Y715" s="269"/>
      <c r="Z715" s="269"/>
      <c r="AA715" s="269"/>
      <c r="AB715" s="269"/>
      <c r="AC715" s="269"/>
      <c r="AD715" s="269"/>
      <c r="AE715" s="269"/>
      <c r="AF715" s="269"/>
      <c r="AG715" s="269"/>
      <c r="AH715" s="269"/>
      <c r="AI715" s="269"/>
      <c r="AJ715" s="269"/>
      <c r="AK715" s="269"/>
      <c r="AL715" s="269"/>
      <c r="AM715" s="269"/>
      <c r="AN715" s="269"/>
      <c r="AO715" s="269"/>
    </row>
    <row r="716" spans="24:41" ht="8.4499999999999993" hidden="1" customHeight="1">
      <c r="X716" s="269"/>
      <c r="Y716" s="269"/>
      <c r="Z716" s="269"/>
      <c r="AA716" s="269"/>
      <c r="AB716" s="269"/>
      <c r="AC716" s="269"/>
      <c r="AD716" s="269"/>
      <c r="AE716" s="269"/>
      <c r="AF716" s="269"/>
      <c r="AG716" s="269"/>
      <c r="AH716" s="269"/>
      <c r="AI716" s="269"/>
      <c r="AJ716" s="269"/>
      <c r="AK716" s="269"/>
      <c r="AL716" s="269"/>
      <c r="AM716" s="269"/>
      <c r="AN716" s="269"/>
      <c r="AO716" s="269"/>
    </row>
    <row r="717" spans="24:41" ht="8.4499999999999993" hidden="1" customHeight="1">
      <c r="X717" s="269"/>
      <c r="Y717" s="269"/>
      <c r="Z717" s="269"/>
      <c r="AA717" s="269"/>
      <c r="AB717" s="269"/>
      <c r="AC717" s="269"/>
      <c r="AD717" s="269"/>
      <c r="AE717" s="269"/>
      <c r="AF717" s="269"/>
      <c r="AG717" s="269"/>
      <c r="AH717" s="269"/>
      <c r="AI717" s="269"/>
      <c r="AJ717" s="269"/>
      <c r="AK717" s="269"/>
      <c r="AL717" s="269"/>
      <c r="AM717" s="269"/>
      <c r="AN717" s="269"/>
      <c r="AO717" s="269"/>
    </row>
    <row r="718" spans="24:41" ht="8.4499999999999993" hidden="1" customHeight="1">
      <c r="X718" s="269"/>
      <c r="Y718" s="269"/>
      <c r="Z718" s="269"/>
      <c r="AA718" s="269"/>
      <c r="AB718" s="269"/>
      <c r="AC718" s="269"/>
      <c r="AD718" s="269"/>
      <c r="AE718" s="269"/>
      <c r="AF718" s="269"/>
      <c r="AG718" s="269"/>
      <c r="AH718" s="269"/>
      <c r="AI718" s="269"/>
      <c r="AJ718" s="269"/>
      <c r="AK718" s="269"/>
      <c r="AL718" s="269"/>
      <c r="AM718" s="269"/>
      <c r="AN718" s="269"/>
      <c r="AO718" s="269"/>
    </row>
    <row r="719" spans="24:41" ht="8.4499999999999993" hidden="1" customHeight="1">
      <c r="X719" s="269"/>
      <c r="Y719" s="269"/>
      <c r="Z719" s="269"/>
      <c r="AA719" s="269"/>
      <c r="AB719" s="269"/>
      <c r="AC719" s="269"/>
      <c r="AD719" s="269"/>
      <c r="AE719" s="269"/>
      <c r="AF719" s="269"/>
      <c r="AG719" s="269"/>
      <c r="AH719" s="269"/>
      <c r="AI719" s="269"/>
      <c r="AJ719" s="269"/>
      <c r="AK719" s="269"/>
      <c r="AL719" s="269"/>
      <c r="AM719" s="269"/>
      <c r="AN719" s="269"/>
      <c r="AO719" s="269"/>
    </row>
    <row r="720" spans="24:41" ht="8.4499999999999993" hidden="1" customHeight="1">
      <c r="X720" s="269"/>
      <c r="Y720" s="269"/>
      <c r="Z720" s="269"/>
      <c r="AA720" s="269"/>
      <c r="AB720" s="269"/>
      <c r="AC720" s="269"/>
      <c r="AD720" s="269"/>
      <c r="AE720" s="269"/>
      <c r="AF720" s="269"/>
      <c r="AG720" s="269"/>
      <c r="AH720" s="269"/>
      <c r="AI720" s="269"/>
      <c r="AJ720" s="269"/>
      <c r="AK720" s="269"/>
      <c r="AL720" s="269"/>
      <c r="AM720" s="269"/>
      <c r="AN720" s="269"/>
      <c r="AO720" s="269"/>
    </row>
    <row r="721" spans="24:41" ht="8.4499999999999993" hidden="1" customHeight="1">
      <c r="X721" s="269"/>
      <c r="Y721" s="269"/>
      <c r="Z721" s="269"/>
      <c r="AA721" s="269"/>
      <c r="AB721" s="269"/>
      <c r="AC721" s="269"/>
      <c r="AD721" s="269"/>
      <c r="AE721" s="269"/>
      <c r="AF721" s="269"/>
      <c r="AG721" s="269"/>
      <c r="AH721" s="269"/>
      <c r="AI721" s="269"/>
      <c r="AJ721" s="269"/>
      <c r="AK721" s="269"/>
      <c r="AL721" s="269"/>
      <c r="AM721" s="269"/>
      <c r="AN721" s="269"/>
      <c r="AO721" s="269"/>
    </row>
    <row r="722" spans="24:41" ht="8.4499999999999993" hidden="1" customHeight="1">
      <c r="X722" s="269"/>
      <c r="Y722" s="269"/>
      <c r="Z722" s="269"/>
      <c r="AA722" s="269"/>
      <c r="AB722" s="269"/>
      <c r="AC722" s="269"/>
      <c r="AD722" s="269"/>
      <c r="AE722" s="269"/>
      <c r="AF722" s="269"/>
      <c r="AG722" s="269"/>
      <c r="AH722" s="269"/>
      <c r="AI722" s="269"/>
      <c r="AJ722" s="269"/>
      <c r="AK722" s="269"/>
      <c r="AL722" s="269"/>
      <c r="AM722" s="269"/>
      <c r="AN722" s="269"/>
      <c r="AO722" s="269"/>
    </row>
    <row r="723" spans="24:41" ht="8.4499999999999993" hidden="1" customHeight="1">
      <c r="X723" s="269"/>
      <c r="Y723" s="269"/>
      <c r="Z723" s="269"/>
      <c r="AA723" s="269"/>
      <c r="AB723" s="269"/>
      <c r="AC723" s="269"/>
      <c r="AD723" s="269"/>
      <c r="AE723" s="269"/>
      <c r="AF723" s="269"/>
      <c r="AG723" s="269"/>
      <c r="AH723" s="269"/>
      <c r="AI723" s="269"/>
      <c r="AJ723" s="269"/>
      <c r="AK723" s="269"/>
      <c r="AL723" s="269"/>
      <c r="AM723" s="269"/>
      <c r="AN723" s="269"/>
      <c r="AO723" s="269"/>
    </row>
    <row r="724" spans="24:41" ht="8.4499999999999993" hidden="1" customHeight="1">
      <c r="X724" s="269"/>
      <c r="Y724" s="269"/>
      <c r="Z724" s="269"/>
      <c r="AA724" s="269"/>
      <c r="AB724" s="269"/>
      <c r="AC724" s="269"/>
      <c r="AD724" s="269"/>
      <c r="AE724" s="269"/>
      <c r="AF724" s="269"/>
      <c r="AG724" s="269"/>
      <c r="AH724" s="269"/>
      <c r="AI724" s="269"/>
      <c r="AJ724" s="269"/>
      <c r="AK724" s="269"/>
      <c r="AL724" s="269"/>
      <c r="AM724" s="269"/>
      <c r="AN724" s="269"/>
      <c r="AO724" s="269"/>
    </row>
    <row r="725" spans="24:41" ht="8.4499999999999993" hidden="1" customHeight="1">
      <c r="X725" s="269"/>
      <c r="Y725" s="269"/>
      <c r="Z725" s="269"/>
      <c r="AA725" s="269"/>
      <c r="AB725" s="269"/>
      <c r="AC725" s="269"/>
      <c r="AD725" s="269"/>
      <c r="AE725" s="269"/>
      <c r="AF725" s="269"/>
      <c r="AG725" s="269"/>
      <c r="AH725" s="269"/>
      <c r="AI725" s="269"/>
      <c r="AJ725" s="269"/>
      <c r="AK725" s="269"/>
      <c r="AL725" s="269"/>
      <c r="AM725" s="269"/>
      <c r="AN725" s="269"/>
      <c r="AO725" s="269"/>
    </row>
    <row r="726" spans="24:41" ht="8.4499999999999993" hidden="1" customHeight="1">
      <c r="X726" s="269"/>
      <c r="Y726" s="269"/>
      <c r="Z726" s="269"/>
      <c r="AA726" s="269"/>
      <c r="AB726" s="269"/>
      <c r="AC726" s="269"/>
      <c r="AD726" s="269"/>
      <c r="AE726" s="269"/>
      <c r="AF726" s="269"/>
      <c r="AG726" s="269"/>
      <c r="AH726" s="269"/>
      <c r="AI726" s="269"/>
      <c r="AJ726" s="269"/>
      <c r="AK726" s="269"/>
      <c r="AL726" s="269"/>
      <c r="AM726" s="269"/>
      <c r="AN726" s="269"/>
      <c r="AO726" s="269"/>
    </row>
    <row r="727" spans="24:41" ht="8.4499999999999993" hidden="1" customHeight="1">
      <c r="X727" s="269"/>
      <c r="Y727" s="269"/>
      <c r="Z727" s="269"/>
      <c r="AA727" s="269"/>
      <c r="AB727" s="269"/>
      <c r="AC727" s="269"/>
      <c r="AD727" s="269"/>
      <c r="AE727" s="269"/>
      <c r="AF727" s="269"/>
      <c r="AG727" s="269"/>
      <c r="AH727" s="269"/>
      <c r="AI727" s="269"/>
      <c r="AJ727" s="269"/>
      <c r="AK727" s="269"/>
      <c r="AL727" s="269"/>
      <c r="AM727" s="269"/>
      <c r="AN727" s="269"/>
      <c r="AO727" s="269"/>
    </row>
    <row r="728" spans="24:41" ht="8.4499999999999993" hidden="1" customHeight="1">
      <c r="X728" s="269"/>
      <c r="Y728" s="269"/>
      <c r="Z728" s="269"/>
      <c r="AA728" s="269"/>
      <c r="AB728" s="269"/>
      <c r="AC728" s="269"/>
      <c r="AD728" s="269"/>
      <c r="AE728" s="269"/>
      <c r="AF728" s="269"/>
      <c r="AG728" s="269"/>
      <c r="AH728" s="269"/>
      <c r="AI728" s="269"/>
      <c r="AJ728" s="269"/>
      <c r="AK728" s="269"/>
      <c r="AL728" s="269"/>
      <c r="AM728" s="269"/>
      <c r="AN728" s="269"/>
      <c r="AO728" s="269"/>
    </row>
    <row r="729" spans="24:41" ht="8.4499999999999993" hidden="1" customHeight="1">
      <c r="X729" s="269"/>
      <c r="Y729" s="269"/>
      <c r="Z729" s="269"/>
      <c r="AA729" s="269"/>
      <c r="AB729" s="269"/>
      <c r="AC729" s="269"/>
      <c r="AD729" s="269"/>
      <c r="AE729" s="269"/>
      <c r="AF729" s="269"/>
      <c r="AG729" s="269"/>
      <c r="AH729" s="269"/>
      <c r="AI729" s="269"/>
      <c r="AJ729" s="269"/>
      <c r="AK729" s="269"/>
      <c r="AL729" s="269"/>
      <c r="AM729" s="269"/>
      <c r="AN729" s="269"/>
      <c r="AO729" s="269"/>
    </row>
    <row r="730" spans="24:41" ht="8.4499999999999993" hidden="1" customHeight="1">
      <c r="X730" s="269"/>
      <c r="Y730" s="269"/>
      <c r="Z730" s="269"/>
      <c r="AA730" s="269"/>
      <c r="AB730" s="269"/>
      <c r="AC730" s="269"/>
      <c r="AD730" s="269"/>
      <c r="AE730" s="269"/>
      <c r="AF730" s="269"/>
      <c r="AG730" s="269"/>
      <c r="AH730" s="269"/>
      <c r="AI730" s="269"/>
      <c r="AJ730" s="269"/>
      <c r="AK730" s="269"/>
      <c r="AL730" s="269"/>
      <c r="AM730" s="269"/>
      <c r="AN730" s="269"/>
      <c r="AO730" s="269"/>
    </row>
    <row r="731" spans="24:41" ht="8.4499999999999993" hidden="1" customHeight="1">
      <c r="X731" s="269"/>
      <c r="Y731" s="269"/>
      <c r="Z731" s="269"/>
      <c r="AA731" s="269"/>
      <c r="AB731" s="269"/>
      <c r="AC731" s="269"/>
      <c r="AD731" s="269"/>
      <c r="AE731" s="269"/>
      <c r="AF731" s="269"/>
      <c r="AG731" s="269"/>
      <c r="AH731" s="269"/>
      <c r="AI731" s="269"/>
      <c r="AJ731" s="269"/>
      <c r="AK731" s="269"/>
      <c r="AL731" s="269"/>
      <c r="AM731" s="269"/>
      <c r="AN731" s="269"/>
      <c r="AO731" s="269"/>
    </row>
    <row r="732" spans="24:41" ht="8.4499999999999993" hidden="1" customHeight="1">
      <c r="X732" s="269"/>
      <c r="Y732" s="269"/>
      <c r="Z732" s="269"/>
      <c r="AA732" s="269"/>
      <c r="AB732" s="269"/>
      <c r="AC732" s="269"/>
      <c r="AD732" s="269"/>
      <c r="AE732" s="269"/>
      <c r="AF732" s="269"/>
      <c r="AG732" s="269"/>
      <c r="AH732" s="269"/>
      <c r="AI732" s="269"/>
      <c r="AJ732" s="269"/>
      <c r="AK732" s="269"/>
      <c r="AL732" s="269"/>
      <c r="AM732" s="269"/>
      <c r="AN732" s="269"/>
      <c r="AO732" s="269"/>
    </row>
    <row r="733" spans="24:41" ht="8.4499999999999993" hidden="1" customHeight="1">
      <c r="X733" s="269"/>
      <c r="Y733" s="269"/>
      <c r="Z733" s="269"/>
      <c r="AA733" s="269"/>
      <c r="AB733" s="269"/>
      <c r="AC733" s="269"/>
      <c r="AD733" s="269"/>
      <c r="AE733" s="269"/>
      <c r="AF733" s="269"/>
      <c r="AG733" s="269"/>
      <c r="AH733" s="269"/>
      <c r="AI733" s="269"/>
      <c r="AJ733" s="269"/>
      <c r="AK733" s="269"/>
      <c r="AL733" s="269"/>
      <c r="AM733" s="269"/>
      <c r="AN733" s="269"/>
      <c r="AO733" s="269"/>
    </row>
    <row r="734" spans="24:41" ht="8.4499999999999993" hidden="1" customHeight="1">
      <c r="X734" s="269"/>
      <c r="Y734" s="269"/>
      <c r="Z734" s="269"/>
      <c r="AA734" s="269"/>
      <c r="AB734" s="269"/>
      <c r="AC734" s="269"/>
      <c r="AD734" s="269"/>
      <c r="AE734" s="269"/>
      <c r="AF734" s="269"/>
      <c r="AG734" s="269"/>
      <c r="AH734" s="269"/>
      <c r="AI734" s="269"/>
      <c r="AJ734" s="269"/>
      <c r="AK734" s="269"/>
      <c r="AL734" s="269"/>
      <c r="AM734" s="269"/>
      <c r="AN734" s="269"/>
      <c r="AO734" s="269"/>
    </row>
    <row r="735" spans="24:41" ht="8.4499999999999993" hidden="1" customHeight="1">
      <c r="X735" s="269"/>
      <c r="Y735" s="269"/>
      <c r="Z735" s="269"/>
      <c r="AA735" s="269"/>
      <c r="AB735" s="269"/>
      <c r="AC735" s="269"/>
      <c r="AD735" s="269"/>
      <c r="AE735" s="269"/>
      <c r="AF735" s="269"/>
      <c r="AG735" s="269"/>
      <c r="AH735" s="269"/>
      <c r="AI735" s="269"/>
      <c r="AJ735" s="269"/>
      <c r="AK735" s="269"/>
      <c r="AL735" s="269"/>
      <c r="AM735" s="269"/>
      <c r="AN735" s="269"/>
      <c r="AO735" s="269"/>
    </row>
    <row r="736" spans="24:41" ht="8.4499999999999993" hidden="1" customHeight="1">
      <c r="X736" s="269"/>
      <c r="Y736" s="269"/>
      <c r="Z736" s="269"/>
      <c r="AA736" s="269"/>
      <c r="AB736" s="269"/>
      <c r="AC736" s="269"/>
      <c r="AD736" s="269"/>
      <c r="AE736" s="269"/>
      <c r="AF736" s="269"/>
      <c r="AG736" s="269"/>
      <c r="AH736" s="269"/>
      <c r="AI736" s="269"/>
      <c r="AJ736" s="269"/>
      <c r="AK736" s="269"/>
      <c r="AL736" s="269"/>
      <c r="AM736" s="269"/>
      <c r="AN736" s="269"/>
      <c r="AO736" s="269"/>
    </row>
    <row r="737" spans="24:41" ht="8.4499999999999993" hidden="1" customHeight="1">
      <c r="X737" s="269"/>
      <c r="Y737" s="269"/>
      <c r="Z737" s="269"/>
      <c r="AA737" s="269"/>
      <c r="AB737" s="269"/>
      <c r="AC737" s="269"/>
      <c r="AD737" s="269"/>
      <c r="AE737" s="269"/>
      <c r="AF737" s="269"/>
      <c r="AG737" s="269"/>
      <c r="AH737" s="269"/>
      <c r="AI737" s="269"/>
      <c r="AJ737" s="269"/>
      <c r="AK737" s="269"/>
      <c r="AL737" s="269"/>
      <c r="AM737" s="269"/>
      <c r="AN737" s="269"/>
      <c r="AO737" s="269"/>
    </row>
    <row r="738" spans="24:41" ht="8.4499999999999993" hidden="1" customHeight="1">
      <c r="X738" s="269"/>
      <c r="Y738" s="269"/>
      <c r="Z738" s="269"/>
      <c r="AA738" s="269"/>
      <c r="AB738" s="269"/>
      <c r="AC738" s="269"/>
      <c r="AD738" s="269"/>
      <c r="AE738" s="269"/>
      <c r="AF738" s="269"/>
      <c r="AG738" s="269"/>
      <c r="AH738" s="269"/>
      <c r="AI738" s="269"/>
      <c r="AJ738" s="269"/>
      <c r="AK738" s="269"/>
      <c r="AL738" s="269"/>
      <c r="AM738" s="269"/>
      <c r="AN738" s="269"/>
      <c r="AO738" s="269"/>
    </row>
    <row r="739" spans="24:41" ht="8.4499999999999993" hidden="1" customHeight="1">
      <c r="X739" s="269"/>
      <c r="Y739" s="269"/>
      <c r="Z739" s="269"/>
      <c r="AA739" s="269"/>
      <c r="AB739" s="269"/>
      <c r="AC739" s="269"/>
      <c r="AD739" s="269"/>
      <c r="AE739" s="269"/>
      <c r="AF739" s="269"/>
      <c r="AG739" s="269"/>
      <c r="AH739" s="269"/>
      <c r="AI739" s="269"/>
      <c r="AJ739" s="269"/>
      <c r="AK739" s="269"/>
      <c r="AL739" s="269"/>
      <c r="AM739" s="269"/>
      <c r="AN739" s="269"/>
      <c r="AO739" s="269"/>
    </row>
    <row r="740" spans="24:41" ht="8.4499999999999993" hidden="1" customHeight="1">
      <c r="X740" s="269"/>
      <c r="Y740" s="269"/>
      <c r="Z740" s="269"/>
      <c r="AA740" s="269"/>
      <c r="AB740" s="269"/>
      <c r="AC740" s="269"/>
      <c r="AD740" s="269"/>
      <c r="AE740" s="269"/>
      <c r="AF740" s="269"/>
      <c r="AG740" s="269"/>
      <c r="AH740" s="269"/>
      <c r="AI740" s="269"/>
      <c r="AJ740" s="269"/>
      <c r="AK740" s="269"/>
      <c r="AL740" s="269"/>
      <c r="AM740" s="269"/>
      <c r="AN740" s="269"/>
      <c r="AO740" s="269"/>
    </row>
    <row r="741" spans="24:41" ht="8.4499999999999993" hidden="1" customHeight="1">
      <c r="X741" s="269"/>
      <c r="Y741" s="269"/>
      <c r="Z741" s="269"/>
      <c r="AA741" s="269"/>
      <c r="AB741" s="269"/>
      <c r="AC741" s="269"/>
      <c r="AD741" s="269"/>
      <c r="AE741" s="269"/>
      <c r="AF741" s="269"/>
      <c r="AG741" s="269"/>
      <c r="AH741" s="269"/>
      <c r="AI741" s="269"/>
      <c r="AJ741" s="269"/>
      <c r="AK741" s="269"/>
      <c r="AL741" s="269"/>
      <c r="AM741" s="269"/>
      <c r="AN741" s="269"/>
      <c r="AO741" s="269"/>
    </row>
    <row r="742" spans="24:41" ht="8.4499999999999993" hidden="1" customHeight="1">
      <c r="X742" s="269"/>
      <c r="Y742" s="269"/>
      <c r="Z742" s="269"/>
      <c r="AA742" s="269"/>
      <c r="AB742" s="269"/>
      <c r="AC742" s="269"/>
      <c r="AD742" s="269"/>
      <c r="AE742" s="269"/>
      <c r="AF742" s="269"/>
      <c r="AG742" s="269"/>
      <c r="AH742" s="269"/>
      <c r="AI742" s="269"/>
      <c r="AJ742" s="269"/>
      <c r="AK742" s="269"/>
      <c r="AL742" s="269"/>
      <c r="AM742" s="269"/>
      <c r="AN742" s="269"/>
      <c r="AO742" s="269"/>
    </row>
    <row r="743" spans="24:41" ht="8.4499999999999993" hidden="1" customHeight="1">
      <c r="X743" s="269"/>
      <c r="Y743" s="269"/>
      <c r="Z743" s="269"/>
      <c r="AA743" s="269"/>
      <c r="AB743" s="269"/>
      <c r="AC743" s="269"/>
      <c r="AD743" s="269"/>
      <c r="AE743" s="269"/>
      <c r="AF743" s="269"/>
      <c r="AG743" s="269"/>
      <c r="AH743" s="269"/>
      <c r="AI743" s="269"/>
      <c r="AJ743" s="269"/>
      <c r="AK743" s="269"/>
      <c r="AL743" s="269"/>
      <c r="AM743" s="269"/>
      <c r="AN743" s="269"/>
      <c r="AO743" s="269"/>
    </row>
    <row r="744" spans="24:41" ht="8.4499999999999993" hidden="1" customHeight="1">
      <c r="X744" s="269"/>
      <c r="Y744" s="269"/>
      <c r="Z744" s="269"/>
      <c r="AA744" s="269"/>
      <c r="AB744" s="269"/>
      <c r="AC744" s="269"/>
      <c r="AD744" s="269"/>
      <c r="AE744" s="269"/>
      <c r="AF744" s="269"/>
      <c r="AG744" s="269"/>
      <c r="AH744" s="269"/>
      <c r="AI744" s="269"/>
      <c r="AJ744" s="269"/>
      <c r="AK744" s="269"/>
      <c r="AL744" s="269"/>
      <c r="AM744" s="269"/>
      <c r="AN744" s="269"/>
      <c r="AO744" s="269"/>
    </row>
    <row r="745" spans="24:41" ht="8.4499999999999993" hidden="1" customHeight="1">
      <c r="X745" s="269"/>
      <c r="Y745" s="269"/>
      <c r="Z745" s="269"/>
      <c r="AA745" s="269"/>
      <c r="AB745" s="269"/>
      <c r="AC745" s="269"/>
      <c r="AD745" s="269"/>
      <c r="AE745" s="269"/>
      <c r="AF745" s="269"/>
      <c r="AG745" s="269"/>
      <c r="AH745" s="269"/>
      <c r="AI745" s="269"/>
      <c r="AJ745" s="269"/>
      <c r="AK745" s="269"/>
      <c r="AL745" s="269"/>
      <c r="AM745" s="269"/>
      <c r="AN745" s="269"/>
      <c r="AO745" s="269"/>
    </row>
    <row r="746" spans="24:41" ht="8.4499999999999993" hidden="1" customHeight="1">
      <c r="X746" s="269"/>
      <c r="Y746" s="269"/>
      <c r="Z746" s="269"/>
      <c r="AA746" s="269"/>
      <c r="AB746" s="269"/>
      <c r="AC746" s="269"/>
      <c r="AD746" s="269"/>
      <c r="AE746" s="269"/>
      <c r="AF746" s="269"/>
      <c r="AG746" s="269"/>
      <c r="AH746" s="269"/>
      <c r="AI746" s="269"/>
      <c r="AJ746" s="269"/>
      <c r="AK746" s="269"/>
      <c r="AL746" s="269"/>
      <c r="AM746" s="269"/>
      <c r="AN746" s="269"/>
      <c r="AO746" s="269"/>
    </row>
    <row r="747" spans="24:41" ht="8.4499999999999993" hidden="1" customHeight="1">
      <c r="X747" s="269"/>
      <c r="Y747" s="269"/>
      <c r="Z747" s="269"/>
      <c r="AA747" s="269"/>
      <c r="AB747" s="269"/>
      <c r="AC747" s="269"/>
      <c r="AD747" s="269"/>
      <c r="AE747" s="269"/>
      <c r="AF747" s="269"/>
      <c r="AG747" s="269"/>
      <c r="AH747" s="269"/>
      <c r="AI747" s="269"/>
      <c r="AJ747" s="269"/>
      <c r="AK747" s="269"/>
      <c r="AL747" s="269"/>
      <c r="AM747" s="269"/>
      <c r="AN747" s="269"/>
      <c r="AO747" s="269"/>
    </row>
    <row r="748" spans="24:41" ht="8.4499999999999993" hidden="1" customHeight="1">
      <c r="X748" s="269"/>
      <c r="Y748" s="269"/>
      <c r="Z748" s="269"/>
      <c r="AA748" s="269"/>
      <c r="AB748" s="269"/>
      <c r="AC748" s="269"/>
      <c r="AD748" s="269"/>
      <c r="AE748" s="269"/>
      <c r="AF748" s="269"/>
      <c r="AG748" s="269"/>
      <c r="AH748" s="269"/>
      <c r="AI748" s="269"/>
      <c r="AJ748" s="269"/>
      <c r="AK748" s="269"/>
      <c r="AL748" s="269"/>
      <c r="AM748" s="269"/>
      <c r="AN748" s="269"/>
      <c r="AO748" s="269"/>
    </row>
    <row r="749" spans="24:41" ht="8.4499999999999993" hidden="1" customHeight="1">
      <c r="X749" s="269"/>
      <c r="Y749" s="269"/>
      <c r="Z749" s="269"/>
      <c r="AA749" s="269"/>
      <c r="AB749" s="269"/>
      <c r="AC749" s="269"/>
      <c r="AD749" s="269"/>
      <c r="AE749" s="269"/>
      <c r="AF749" s="269"/>
      <c r="AG749" s="269"/>
      <c r="AH749" s="269"/>
      <c r="AI749" s="269"/>
      <c r="AJ749" s="269"/>
      <c r="AK749" s="269"/>
      <c r="AL749" s="269"/>
      <c r="AM749" s="269"/>
      <c r="AN749" s="269"/>
      <c r="AO749" s="269"/>
    </row>
    <row r="750" spans="24:41" ht="8.4499999999999993" hidden="1" customHeight="1">
      <c r="X750" s="269"/>
      <c r="Y750" s="269"/>
      <c r="Z750" s="269"/>
      <c r="AA750" s="269"/>
      <c r="AB750" s="269"/>
      <c r="AC750" s="269"/>
      <c r="AD750" s="269"/>
      <c r="AE750" s="269"/>
      <c r="AF750" s="269"/>
      <c r="AG750" s="269"/>
      <c r="AH750" s="269"/>
      <c r="AI750" s="269"/>
      <c r="AJ750" s="269"/>
      <c r="AK750" s="269"/>
      <c r="AL750" s="269"/>
      <c r="AM750" s="269"/>
      <c r="AN750" s="269"/>
      <c r="AO750" s="269"/>
    </row>
    <row r="751" spans="24:41" ht="8.4499999999999993" hidden="1" customHeight="1">
      <c r="X751" s="269"/>
      <c r="Y751" s="269"/>
      <c r="Z751" s="269"/>
      <c r="AA751" s="269"/>
      <c r="AB751" s="269"/>
      <c r="AC751" s="269"/>
      <c r="AD751" s="269"/>
      <c r="AE751" s="269"/>
      <c r="AF751" s="269"/>
      <c r="AG751" s="269"/>
      <c r="AH751" s="269"/>
      <c r="AI751" s="269"/>
      <c r="AJ751" s="269"/>
      <c r="AK751" s="269"/>
      <c r="AL751" s="269"/>
      <c r="AM751" s="269"/>
      <c r="AN751" s="269"/>
      <c r="AO751" s="269"/>
    </row>
    <row r="752" spans="24:41" ht="8.4499999999999993" hidden="1" customHeight="1">
      <c r="X752" s="269"/>
      <c r="Y752" s="269"/>
      <c r="Z752" s="269"/>
      <c r="AA752" s="269"/>
      <c r="AB752" s="269"/>
      <c r="AC752" s="269"/>
      <c r="AD752" s="269"/>
      <c r="AE752" s="269"/>
      <c r="AF752" s="269"/>
      <c r="AG752" s="269"/>
      <c r="AH752" s="269"/>
      <c r="AI752" s="269"/>
      <c r="AJ752" s="269"/>
      <c r="AK752" s="269"/>
      <c r="AL752" s="269"/>
      <c r="AM752" s="269"/>
      <c r="AN752" s="269"/>
      <c r="AO752" s="269"/>
    </row>
    <row r="753" spans="24:41" ht="8.4499999999999993" hidden="1" customHeight="1">
      <c r="X753" s="269"/>
      <c r="Y753" s="269"/>
      <c r="Z753" s="269"/>
      <c r="AA753" s="269"/>
      <c r="AB753" s="269"/>
      <c r="AC753" s="269"/>
      <c r="AD753" s="269"/>
      <c r="AE753" s="269"/>
      <c r="AF753" s="269"/>
      <c r="AG753" s="269"/>
      <c r="AH753" s="269"/>
      <c r="AI753" s="269"/>
      <c r="AJ753" s="269"/>
      <c r="AK753" s="269"/>
      <c r="AL753" s="269"/>
      <c r="AM753" s="269"/>
      <c r="AN753" s="269"/>
      <c r="AO753" s="269"/>
    </row>
    <row r="754" spans="24:41" ht="8.4499999999999993" hidden="1" customHeight="1">
      <c r="X754" s="269"/>
      <c r="Y754" s="269"/>
      <c r="Z754" s="269"/>
      <c r="AA754" s="269"/>
      <c r="AB754" s="269"/>
      <c r="AC754" s="269"/>
      <c r="AD754" s="269"/>
      <c r="AE754" s="269"/>
      <c r="AF754" s="269"/>
      <c r="AG754" s="269"/>
      <c r="AH754" s="269"/>
      <c r="AI754" s="269"/>
      <c r="AJ754" s="269"/>
      <c r="AK754" s="269"/>
      <c r="AL754" s="269"/>
      <c r="AM754" s="269"/>
      <c r="AN754" s="269"/>
      <c r="AO754" s="269"/>
    </row>
    <row r="755" spans="24:41" ht="8.4499999999999993" hidden="1" customHeight="1">
      <c r="X755" s="269"/>
      <c r="Y755" s="269"/>
      <c r="Z755" s="269"/>
      <c r="AA755" s="269"/>
      <c r="AB755" s="269"/>
      <c r="AC755" s="269"/>
      <c r="AD755" s="269"/>
      <c r="AE755" s="269"/>
      <c r="AF755" s="269"/>
      <c r="AG755" s="269"/>
      <c r="AH755" s="269"/>
      <c r="AI755" s="269"/>
      <c r="AJ755" s="269"/>
      <c r="AK755" s="269"/>
      <c r="AL755" s="269"/>
      <c r="AM755" s="269"/>
      <c r="AN755" s="269"/>
      <c r="AO755" s="269"/>
    </row>
    <row r="756" spans="24:41" ht="8.4499999999999993" hidden="1" customHeight="1">
      <c r="X756" s="269"/>
      <c r="Y756" s="269"/>
      <c r="Z756" s="269"/>
      <c r="AA756" s="269"/>
      <c r="AB756" s="269"/>
      <c r="AC756" s="269"/>
      <c r="AD756" s="269"/>
      <c r="AE756" s="269"/>
      <c r="AF756" s="269"/>
      <c r="AG756" s="269"/>
      <c r="AH756" s="269"/>
      <c r="AI756" s="269"/>
      <c r="AJ756" s="269"/>
      <c r="AK756" s="269"/>
      <c r="AL756" s="269"/>
      <c r="AM756" s="269"/>
      <c r="AN756" s="269"/>
      <c r="AO756" s="269"/>
    </row>
    <row r="757" spans="24:41" ht="8.4499999999999993" hidden="1" customHeight="1">
      <c r="X757" s="272"/>
      <c r="Y757" s="272"/>
      <c r="Z757" s="272"/>
      <c r="AA757" s="272"/>
      <c r="AB757" s="272"/>
      <c r="AC757" s="272"/>
      <c r="AD757" s="272"/>
      <c r="AE757" s="272"/>
      <c r="AF757" s="272"/>
      <c r="AG757" s="272"/>
      <c r="AH757" s="272"/>
      <c r="AI757" s="272"/>
      <c r="AJ757" s="272"/>
      <c r="AK757" s="272"/>
      <c r="AL757" s="272"/>
      <c r="AM757" s="272"/>
      <c r="AN757" s="272"/>
      <c r="AO757" s="272"/>
    </row>
    <row r="758" spans="24:41" ht="8.4499999999999993" hidden="1" customHeight="1">
      <c r="X758" s="272"/>
      <c r="Y758" s="272"/>
      <c r="Z758" s="272"/>
      <c r="AA758" s="272"/>
      <c r="AB758" s="272"/>
      <c r="AC758" s="272"/>
      <c r="AD758" s="272"/>
      <c r="AE758" s="272"/>
      <c r="AF758" s="272"/>
      <c r="AG758" s="272"/>
      <c r="AH758" s="272"/>
      <c r="AI758" s="272"/>
      <c r="AJ758" s="272"/>
      <c r="AK758" s="272"/>
      <c r="AL758" s="272"/>
      <c r="AM758" s="272"/>
      <c r="AN758" s="272"/>
      <c r="AO758" s="272"/>
    </row>
    <row r="759" spans="24:41" ht="8.4499999999999993" hidden="1" customHeight="1">
      <c r="X759" s="269"/>
      <c r="Y759" s="269"/>
      <c r="Z759" s="269"/>
      <c r="AA759" s="269"/>
      <c r="AB759" s="269"/>
      <c r="AC759" s="269"/>
      <c r="AD759" s="269"/>
      <c r="AE759" s="269"/>
      <c r="AF759" s="269"/>
      <c r="AG759" s="269"/>
      <c r="AH759" s="269"/>
      <c r="AI759" s="269"/>
      <c r="AJ759" s="269"/>
      <c r="AK759" s="269"/>
      <c r="AL759" s="269"/>
      <c r="AM759" s="269"/>
      <c r="AN759" s="269"/>
      <c r="AO759" s="269"/>
    </row>
    <row r="760" spans="24:41" ht="8.4499999999999993" hidden="1" customHeight="1">
      <c r="X760" s="259"/>
      <c r="Y760" s="259"/>
      <c r="Z760" s="259"/>
      <c r="AA760" s="259"/>
      <c r="AB760" s="259"/>
      <c r="AC760" s="259"/>
      <c r="AD760" s="259"/>
      <c r="AE760" s="259"/>
      <c r="AF760" s="259"/>
      <c r="AG760" s="259"/>
      <c r="AH760" s="259"/>
      <c r="AI760" s="259"/>
      <c r="AJ760" s="259"/>
      <c r="AK760" s="259"/>
      <c r="AL760" s="259"/>
      <c r="AM760" s="259"/>
      <c r="AN760" s="259"/>
      <c r="AO760" s="259"/>
    </row>
    <row r="761" spans="24:41" ht="8.4499999999999993" hidden="1" customHeight="1">
      <c r="X761" s="259"/>
      <c r="Y761" s="259"/>
      <c r="Z761" s="259"/>
      <c r="AA761" s="259"/>
      <c r="AB761" s="259"/>
      <c r="AC761" s="259"/>
      <c r="AD761" s="259"/>
      <c r="AE761" s="259"/>
      <c r="AF761" s="259"/>
      <c r="AG761" s="259"/>
      <c r="AH761" s="259"/>
      <c r="AI761" s="259"/>
      <c r="AJ761" s="259"/>
      <c r="AK761" s="259"/>
      <c r="AL761" s="259"/>
      <c r="AM761" s="259"/>
      <c r="AN761" s="259"/>
      <c r="AO761" s="259"/>
    </row>
    <row r="762" spans="24:41" ht="8.4499999999999993" hidden="1" customHeight="1">
      <c r="X762" s="269"/>
      <c r="Y762" s="269"/>
      <c r="Z762" s="269"/>
      <c r="AA762" s="269"/>
      <c r="AB762" s="269"/>
      <c r="AC762" s="269"/>
      <c r="AD762" s="269"/>
      <c r="AE762" s="269"/>
      <c r="AF762" s="269"/>
      <c r="AG762" s="269"/>
      <c r="AH762" s="269"/>
      <c r="AI762" s="269"/>
      <c r="AJ762" s="269"/>
      <c r="AK762" s="269"/>
      <c r="AL762" s="269"/>
      <c r="AM762" s="269"/>
      <c r="AN762" s="269"/>
      <c r="AO762" s="269"/>
    </row>
    <row r="763" spans="24:41" ht="8.4499999999999993" hidden="1" customHeight="1">
      <c r="X763" s="269"/>
      <c r="Y763" s="269"/>
      <c r="Z763" s="269"/>
      <c r="AA763" s="269"/>
      <c r="AB763" s="269"/>
      <c r="AC763" s="269"/>
      <c r="AD763" s="269"/>
      <c r="AE763" s="269"/>
      <c r="AF763" s="269"/>
      <c r="AG763" s="269"/>
      <c r="AH763" s="269"/>
      <c r="AI763" s="269"/>
      <c r="AJ763" s="269"/>
      <c r="AK763" s="269"/>
      <c r="AL763" s="269"/>
      <c r="AM763" s="269"/>
      <c r="AN763" s="269"/>
      <c r="AO763" s="269"/>
    </row>
    <row r="764" spans="24:41" ht="8.4499999999999993" hidden="1" customHeight="1">
      <c r="X764" s="269"/>
      <c r="Y764" s="269"/>
      <c r="Z764" s="269"/>
      <c r="AA764" s="269"/>
      <c r="AB764" s="269"/>
      <c r="AC764" s="269"/>
      <c r="AD764" s="269"/>
      <c r="AE764" s="269"/>
      <c r="AF764" s="269"/>
      <c r="AG764" s="269"/>
      <c r="AH764" s="269"/>
      <c r="AI764" s="269"/>
      <c r="AJ764" s="269"/>
      <c r="AK764" s="269"/>
      <c r="AL764" s="269"/>
      <c r="AM764" s="269"/>
      <c r="AN764" s="269"/>
      <c r="AO764" s="269"/>
    </row>
    <row r="765" spans="24:41" ht="8.4499999999999993" hidden="1" customHeight="1">
      <c r="X765" s="269"/>
      <c r="Y765" s="269"/>
      <c r="Z765" s="269"/>
      <c r="AA765" s="269"/>
      <c r="AB765" s="269"/>
      <c r="AC765" s="269"/>
      <c r="AD765" s="269"/>
      <c r="AE765" s="269"/>
      <c r="AF765" s="269"/>
      <c r="AG765" s="269"/>
      <c r="AH765" s="269"/>
      <c r="AI765" s="269"/>
      <c r="AJ765" s="269"/>
      <c r="AK765" s="269"/>
      <c r="AL765" s="269"/>
      <c r="AM765" s="269"/>
      <c r="AN765" s="269"/>
      <c r="AO765" s="269"/>
    </row>
    <row r="766" spans="24:41" ht="8.4499999999999993" hidden="1" customHeight="1">
      <c r="X766" s="269"/>
      <c r="Y766" s="269"/>
      <c r="Z766" s="269"/>
      <c r="AA766" s="269"/>
      <c r="AB766" s="269"/>
      <c r="AC766" s="269"/>
      <c r="AD766" s="269"/>
      <c r="AE766" s="269"/>
      <c r="AF766" s="269"/>
      <c r="AG766" s="269"/>
      <c r="AH766" s="269"/>
      <c r="AI766" s="269"/>
      <c r="AJ766" s="269"/>
      <c r="AK766" s="269"/>
      <c r="AL766" s="269"/>
      <c r="AM766" s="269"/>
      <c r="AN766" s="269"/>
      <c r="AO766" s="269"/>
    </row>
    <row r="767" spans="24:41" ht="8.4499999999999993" hidden="1" customHeight="1">
      <c r="X767" s="269"/>
      <c r="Y767" s="269"/>
      <c r="Z767" s="269"/>
      <c r="AA767" s="269"/>
      <c r="AB767" s="269"/>
      <c r="AC767" s="269"/>
      <c r="AD767" s="269"/>
      <c r="AE767" s="269"/>
      <c r="AF767" s="269"/>
      <c r="AG767" s="269"/>
      <c r="AH767" s="269"/>
      <c r="AI767" s="269"/>
      <c r="AJ767" s="269"/>
      <c r="AK767" s="269"/>
      <c r="AL767" s="269"/>
      <c r="AM767" s="269"/>
      <c r="AN767" s="269"/>
      <c r="AO767" s="269"/>
    </row>
    <row r="768" spans="24:41" ht="8.4499999999999993" hidden="1" customHeight="1">
      <c r="X768" s="269"/>
      <c r="Y768" s="269"/>
      <c r="Z768" s="269"/>
      <c r="AA768" s="269"/>
      <c r="AB768" s="269"/>
      <c r="AC768" s="269"/>
      <c r="AD768" s="269"/>
      <c r="AE768" s="269"/>
      <c r="AF768" s="269"/>
      <c r="AG768" s="269"/>
      <c r="AH768" s="269"/>
      <c r="AI768" s="269"/>
      <c r="AJ768" s="269"/>
      <c r="AK768" s="269"/>
      <c r="AL768" s="269"/>
      <c r="AM768" s="269"/>
      <c r="AN768" s="269"/>
      <c r="AO768" s="269"/>
    </row>
    <row r="769" spans="24:41" ht="8.4499999999999993" hidden="1" customHeight="1">
      <c r="X769" s="269"/>
      <c r="Y769" s="269"/>
      <c r="Z769" s="269"/>
      <c r="AA769" s="269"/>
      <c r="AB769" s="269"/>
      <c r="AC769" s="269"/>
      <c r="AD769" s="269"/>
      <c r="AE769" s="269"/>
      <c r="AF769" s="269"/>
      <c r="AG769" s="269"/>
      <c r="AH769" s="269"/>
      <c r="AI769" s="269"/>
      <c r="AJ769" s="269"/>
      <c r="AK769" s="269"/>
      <c r="AL769" s="269"/>
      <c r="AM769" s="269"/>
      <c r="AN769" s="269"/>
      <c r="AO769" s="269"/>
    </row>
    <row r="770" spans="24:41" ht="8.4499999999999993" hidden="1" customHeight="1">
      <c r="X770" s="269"/>
      <c r="Y770" s="269"/>
      <c r="Z770" s="269"/>
      <c r="AA770" s="269"/>
      <c r="AB770" s="269"/>
      <c r="AC770" s="269"/>
      <c r="AD770" s="269"/>
      <c r="AE770" s="269"/>
      <c r="AF770" s="269"/>
      <c r="AG770" s="269"/>
      <c r="AH770" s="269"/>
      <c r="AI770" s="269"/>
      <c r="AJ770" s="269"/>
      <c r="AK770" s="269"/>
      <c r="AL770" s="269"/>
      <c r="AM770" s="269"/>
      <c r="AN770" s="269"/>
      <c r="AO770" s="269"/>
    </row>
    <row r="771" spans="24:41" ht="8.4499999999999993" hidden="1" customHeight="1">
      <c r="X771" s="269"/>
      <c r="Y771" s="269"/>
      <c r="Z771" s="269"/>
      <c r="AA771" s="269"/>
      <c r="AB771" s="269"/>
      <c r="AC771" s="269"/>
      <c r="AD771" s="269"/>
      <c r="AE771" s="269"/>
      <c r="AF771" s="269"/>
      <c r="AG771" s="269"/>
      <c r="AH771" s="269"/>
      <c r="AI771" s="269"/>
      <c r="AJ771" s="269"/>
      <c r="AK771" s="269"/>
      <c r="AL771" s="269"/>
      <c r="AM771" s="269"/>
      <c r="AN771" s="269"/>
      <c r="AO771" s="269"/>
    </row>
    <row r="772" spans="24:41" ht="8.4499999999999993" hidden="1" customHeight="1">
      <c r="X772" s="269"/>
      <c r="Y772" s="269"/>
      <c r="Z772" s="269"/>
      <c r="AA772" s="269"/>
      <c r="AB772" s="269"/>
      <c r="AC772" s="269"/>
      <c r="AD772" s="269"/>
      <c r="AE772" s="269"/>
      <c r="AF772" s="269"/>
      <c r="AG772" s="269"/>
      <c r="AH772" s="269"/>
      <c r="AI772" s="269"/>
      <c r="AJ772" s="269"/>
      <c r="AK772" s="269"/>
      <c r="AL772" s="269"/>
      <c r="AM772" s="269"/>
      <c r="AN772" s="269"/>
      <c r="AO772" s="269"/>
    </row>
    <row r="773" spans="24:41" ht="8.4499999999999993" hidden="1" customHeight="1">
      <c r="X773" s="269"/>
      <c r="Y773" s="269"/>
      <c r="Z773" s="269"/>
      <c r="AA773" s="269"/>
      <c r="AB773" s="269"/>
      <c r="AC773" s="269"/>
      <c r="AD773" s="269"/>
      <c r="AE773" s="269"/>
      <c r="AF773" s="269"/>
      <c r="AG773" s="269"/>
      <c r="AH773" s="269"/>
      <c r="AI773" s="269"/>
      <c r="AJ773" s="269"/>
      <c r="AK773" s="269"/>
      <c r="AL773" s="269"/>
      <c r="AM773" s="269"/>
      <c r="AN773" s="269"/>
      <c r="AO773" s="269"/>
    </row>
    <row r="774" spans="24:41" ht="8.4499999999999993" hidden="1" customHeight="1">
      <c r="X774" s="269"/>
      <c r="Y774" s="269"/>
      <c r="Z774" s="269"/>
      <c r="AA774" s="269"/>
      <c r="AB774" s="269"/>
      <c r="AC774" s="269"/>
      <c r="AD774" s="269"/>
      <c r="AE774" s="269"/>
      <c r="AF774" s="269"/>
      <c r="AG774" s="269"/>
      <c r="AH774" s="269"/>
      <c r="AI774" s="269"/>
      <c r="AJ774" s="269"/>
      <c r="AK774" s="269"/>
      <c r="AL774" s="269"/>
      <c r="AM774" s="269"/>
      <c r="AN774" s="269"/>
      <c r="AO774" s="269"/>
    </row>
    <row r="775" spans="24:41" ht="8.4499999999999993" hidden="1" customHeight="1">
      <c r="X775" s="269"/>
      <c r="Y775" s="269"/>
      <c r="Z775" s="269"/>
      <c r="AA775" s="269"/>
      <c r="AB775" s="269"/>
      <c r="AC775" s="269"/>
      <c r="AD775" s="269"/>
      <c r="AE775" s="269"/>
      <c r="AF775" s="269"/>
      <c r="AG775" s="269"/>
      <c r="AH775" s="269"/>
      <c r="AI775" s="269"/>
      <c r="AJ775" s="269"/>
      <c r="AK775" s="269"/>
      <c r="AL775" s="269"/>
      <c r="AM775" s="269"/>
      <c r="AN775" s="269"/>
      <c r="AO775" s="269"/>
    </row>
    <row r="776" spans="24:41" ht="8.4499999999999993" hidden="1" customHeight="1">
      <c r="X776" s="269"/>
      <c r="Y776" s="269"/>
      <c r="Z776" s="269"/>
      <c r="AA776" s="269"/>
      <c r="AB776" s="269"/>
      <c r="AC776" s="269"/>
      <c r="AD776" s="269"/>
      <c r="AE776" s="269"/>
      <c r="AF776" s="269"/>
      <c r="AG776" s="269"/>
      <c r="AH776" s="269"/>
      <c r="AI776" s="269"/>
      <c r="AJ776" s="269"/>
      <c r="AK776" s="269"/>
      <c r="AL776" s="269"/>
      <c r="AM776" s="269"/>
      <c r="AN776" s="269"/>
      <c r="AO776" s="269"/>
    </row>
    <row r="777" spans="24:41" ht="8.4499999999999993" hidden="1" customHeight="1">
      <c r="X777" s="269"/>
      <c r="Y777" s="269"/>
      <c r="Z777" s="269"/>
      <c r="AA777" s="269"/>
      <c r="AB777" s="269"/>
      <c r="AC777" s="269"/>
      <c r="AD777" s="269"/>
      <c r="AE777" s="269"/>
      <c r="AF777" s="269"/>
      <c r="AG777" s="269"/>
      <c r="AH777" s="269"/>
      <c r="AI777" s="269"/>
      <c r="AJ777" s="269"/>
      <c r="AK777" s="269"/>
      <c r="AL777" s="269"/>
      <c r="AM777" s="269"/>
      <c r="AN777" s="269"/>
      <c r="AO777" s="269"/>
    </row>
    <row r="778" spans="24:41" ht="8.4499999999999993" hidden="1" customHeight="1">
      <c r="X778" s="269"/>
      <c r="Y778" s="269"/>
      <c r="Z778" s="269"/>
      <c r="AA778" s="269"/>
      <c r="AB778" s="269"/>
      <c r="AC778" s="269"/>
      <c r="AD778" s="269"/>
      <c r="AE778" s="269"/>
      <c r="AF778" s="269"/>
      <c r="AG778" s="269"/>
      <c r="AH778" s="269"/>
      <c r="AI778" s="269"/>
      <c r="AJ778" s="269"/>
      <c r="AK778" s="269"/>
      <c r="AL778" s="269"/>
      <c r="AM778" s="269"/>
      <c r="AN778" s="269"/>
      <c r="AO778" s="269"/>
    </row>
    <row r="779" spans="24:41" ht="8.4499999999999993" hidden="1" customHeight="1">
      <c r="X779" s="269"/>
      <c r="Y779" s="269"/>
      <c r="Z779" s="269"/>
      <c r="AA779" s="269"/>
      <c r="AB779" s="269"/>
      <c r="AC779" s="269"/>
      <c r="AD779" s="269"/>
      <c r="AE779" s="269"/>
      <c r="AF779" s="269"/>
      <c r="AG779" s="269"/>
      <c r="AH779" s="269"/>
      <c r="AI779" s="269"/>
      <c r="AJ779" s="269"/>
      <c r="AK779" s="269"/>
      <c r="AL779" s="269"/>
      <c r="AM779" s="269"/>
      <c r="AN779" s="269"/>
      <c r="AO779" s="269"/>
    </row>
    <row r="780" spans="24:41" ht="8.4499999999999993" hidden="1" customHeight="1">
      <c r="X780" s="269"/>
      <c r="Y780" s="269"/>
      <c r="Z780" s="269"/>
      <c r="AA780" s="269"/>
      <c r="AB780" s="269"/>
      <c r="AC780" s="269"/>
      <c r="AD780" s="269"/>
      <c r="AE780" s="269"/>
      <c r="AF780" s="269"/>
      <c r="AG780" s="269"/>
      <c r="AH780" s="269"/>
      <c r="AI780" s="269"/>
      <c r="AJ780" s="269"/>
      <c r="AK780" s="269"/>
      <c r="AL780" s="269"/>
      <c r="AM780" s="269"/>
      <c r="AN780" s="269"/>
      <c r="AO780" s="269"/>
    </row>
    <row r="781" spans="24:41" ht="8.4499999999999993" hidden="1" customHeight="1">
      <c r="X781" s="269"/>
      <c r="Y781" s="269"/>
      <c r="Z781" s="269"/>
      <c r="AA781" s="269"/>
      <c r="AB781" s="269"/>
      <c r="AC781" s="269"/>
      <c r="AD781" s="269"/>
      <c r="AE781" s="269"/>
      <c r="AF781" s="269"/>
      <c r="AG781" s="269"/>
      <c r="AH781" s="269"/>
      <c r="AI781" s="269"/>
      <c r="AJ781" s="269"/>
      <c r="AK781" s="269"/>
      <c r="AL781" s="269"/>
      <c r="AM781" s="269"/>
      <c r="AN781" s="269"/>
      <c r="AO781" s="269"/>
    </row>
    <row r="782" spans="24:41" ht="8.4499999999999993" hidden="1" customHeight="1">
      <c r="X782" s="269"/>
      <c r="Y782" s="269"/>
      <c r="Z782" s="269"/>
      <c r="AA782" s="269"/>
      <c r="AB782" s="269"/>
      <c r="AC782" s="269"/>
      <c r="AD782" s="269"/>
      <c r="AE782" s="269"/>
      <c r="AF782" s="269"/>
      <c r="AG782" s="269"/>
      <c r="AH782" s="269"/>
      <c r="AI782" s="269"/>
      <c r="AJ782" s="269"/>
      <c r="AK782" s="269"/>
      <c r="AL782" s="269"/>
      <c r="AM782" s="269"/>
      <c r="AN782" s="269"/>
      <c r="AO782" s="269"/>
    </row>
    <row r="783" spans="24:41" ht="8.4499999999999993" hidden="1" customHeight="1">
      <c r="X783" s="269"/>
      <c r="Y783" s="269"/>
      <c r="Z783" s="269"/>
      <c r="AA783" s="269"/>
      <c r="AB783" s="269"/>
      <c r="AC783" s="269"/>
      <c r="AD783" s="269"/>
      <c r="AE783" s="269"/>
      <c r="AF783" s="269"/>
      <c r="AG783" s="269"/>
      <c r="AH783" s="269"/>
      <c r="AI783" s="269"/>
      <c r="AJ783" s="269"/>
      <c r="AK783" s="269"/>
      <c r="AL783" s="269"/>
      <c r="AM783" s="269"/>
      <c r="AN783" s="269"/>
      <c r="AO783" s="269"/>
    </row>
    <row r="784" spans="24:41" ht="8.4499999999999993" hidden="1" customHeight="1">
      <c r="X784" s="269"/>
      <c r="Y784" s="269"/>
      <c r="Z784" s="269"/>
      <c r="AA784" s="269"/>
      <c r="AB784" s="269"/>
      <c r="AC784" s="269"/>
      <c r="AD784" s="269"/>
      <c r="AE784" s="269"/>
      <c r="AF784" s="269"/>
      <c r="AG784" s="269"/>
      <c r="AH784" s="269"/>
      <c r="AI784" s="269"/>
      <c r="AJ784" s="269"/>
      <c r="AK784" s="269"/>
      <c r="AL784" s="269"/>
      <c r="AM784" s="269"/>
      <c r="AN784" s="269"/>
      <c r="AO784" s="269"/>
    </row>
    <row r="785" spans="24:41" ht="8.4499999999999993" hidden="1" customHeight="1">
      <c r="X785" s="269"/>
      <c r="Y785" s="269"/>
      <c r="Z785" s="269"/>
      <c r="AA785" s="269"/>
      <c r="AB785" s="269"/>
      <c r="AC785" s="269"/>
      <c r="AD785" s="269"/>
      <c r="AE785" s="269"/>
      <c r="AF785" s="269"/>
      <c r="AG785" s="269"/>
      <c r="AH785" s="269"/>
      <c r="AI785" s="269"/>
      <c r="AJ785" s="269"/>
      <c r="AK785" s="269"/>
      <c r="AL785" s="269"/>
      <c r="AM785" s="269"/>
      <c r="AN785" s="269"/>
      <c r="AO785" s="269"/>
    </row>
    <row r="786" spans="24:41" ht="8.4499999999999993" hidden="1" customHeight="1">
      <c r="X786" s="269"/>
      <c r="Y786" s="269"/>
      <c r="Z786" s="269"/>
      <c r="AA786" s="269"/>
      <c r="AB786" s="269"/>
      <c r="AC786" s="269"/>
      <c r="AD786" s="269"/>
      <c r="AE786" s="269"/>
      <c r="AF786" s="269"/>
      <c r="AG786" s="269"/>
      <c r="AH786" s="269"/>
      <c r="AI786" s="269"/>
      <c r="AJ786" s="269"/>
      <c r="AK786" s="269"/>
      <c r="AL786" s="269"/>
      <c r="AM786" s="269"/>
      <c r="AN786" s="269"/>
      <c r="AO786" s="269"/>
    </row>
    <row r="787" spans="24:41" ht="8.4499999999999993" hidden="1" customHeight="1">
      <c r="X787" s="269"/>
      <c r="Y787" s="269"/>
      <c r="Z787" s="269"/>
      <c r="AA787" s="269"/>
      <c r="AB787" s="269"/>
      <c r="AC787" s="269"/>
      <c r="AD787" s="269"/>
      <c r="AE787" s="269"/>
      <c r="AF787" s="269"/>
      <c r="AG787" s="269"/>
      <c r="AH787" s="269"/>
      <c r="AI787" s="269"/>
      <c r="AJ787" s="269"/>
      <c r="AK787" s="269"/>
      <c r="AL787" s="269"/>
      <c r="AM787" s="269"/>
      <c r="AN787" s="269"/>
      <c r="AO787" s="269"/>
    </row>
    <row r="788" spans="24:41" ht="8.4499999999999993" hidden="1" customHeight="1">
      <c r="X788" s="269"/>
      <c r="Y788" s="269"/>
      <c r="Z788" s="269"/>
      <c r="AA788" s="269"/>
      <c r="AB788" s="269"/>
      <c r="AC788" s="269"/>
      <c r="AD788" s="269"/>
      <c r="AE788" s="269"/>
      <c r="AF788" s="269"/>
      <c r="AG788" s="269"/>
      <c r="AH788" s="269"/>
      <c r="AI788" s="269"/>
      <c r="AJ788" s="269"/>
      <c r="AK788" s="269"/>
      <c r="AL788" s="269"/>
      <c r="AM788" s="269"/>
      <c r="AN788" s="269"/>
      <c r="AO788" s="269"/>
    </row>
    <row r="789" spans="24:41" ht="8.4499999999999993" hidden="1" customHeight="1">
      <c r="X789" s="269"/>
      <c r="Y789" s="269"/>
      <c r="Z789" s="269"/>
      <c r="AA789" s="269"/>
      <c r="AB789" s="269"/>
      <c r="AC789" s="269"/>
      <c r="AD789" s="269"/>
      <c r="AE789" s="269"/>
      <c r="AF789" s="269"/>
      <c r="AG789" s="269"/>
      <c r="AH789" s="269"/>
      <c r="AI789" s="269"/>
      <c r="AJ789" s="269"/>
      <c r="AK789" s="269"/>
      <c r="AL789" s="269"/>
      <c r="AM789" s="269"/>
      <c r="AN789" s="269"/>
      <c r="AO789" s="269"/>
    </row>
    <row r="790" spans="24:41" ht="8.4499999999999993" hidden="1" customHeight="1">
      <c r="X790" s="269"/>
      <c r="Y790" s="269"/>
      <c r="Z790" s="269"/>
      <c r="AA790" s="269"/>
      <c r="AB790" s="269"/>
      <c r="AC790" s="269"/>
      <c r="AD790" s="269"/>
      <c r="AE790" s="269"/>
      <c r="AF790" s="269"/>
      <c r="AG790" s="269"/>
      <c r="AH790" s="269"/>
      <c r="AI790" s="269"/>
      <c r="AJ790" s="269"/>
      <c r="AK790" s="269"/>
      <c r="AL790" s="269"/>
      <c r="AM790" s="269"/>
      <c r="AN790" s="269"/>
      <c r="AO790" s="269"/>
    </row>
    <row r="791" spans="24:41" ht="8.4499999999999993" hidden="1" customHeight="1">
      <c r="X791" s="269"/>
      <c r="Y791" s="269"/>
      <c r="Z791" s="269"/>
      <c r="AA791" s="269"/>
      <c r="AB791" s="269"/>
      <c r="AC791" s="269"/>
      <c r="AD791" s="269"/>
      <c r="AE791" s="269"/>
      <c r="AF791" s="269"/>
      <c r="AG791" s="269"/>
      <c r="AH791" s="269"/>
      <c r="AI791" s="269"/>
      <c r="AJ791" s="269"/>
      <c r="AK791" s="269"/>
      <c r="AL791" s="269"/>
      <c r="AM791" s="269"/>
      <c r="AN791" s="269"/>
      <c r="AO791" s="269"/>
    </row>
    <row r="792" spans="24:41" ht="8.4499999999999993" hidden="1" customHeight="1">
      <c r="X792" s="269"/>
      <c r="Y792" s="269"/>
      <c r="Z792" s="269"/>
      <c r="AA792" s="269"/>
      <c r="AB792" s="269"/>
      <c r="AC792" s="269"/>
      <c r="AD792" s="269"/>
      <c r="AE792" s="269"/>
      <c r="AF792" s="269"/>
      <c r="AG792" s="269"/>
      <c r="AH792" s="269"/>
      <c r="AI792" s="269"/>
      <c r="AJ792" s="269"/>
      <c r="AK792" s="269"/>
      <c r="AL792" s="269"/>
      <c r="AM792" s="269"/>
      <c r="AN792" s="269"/>
      <c r="AO792" s="269"/>
    </row>
    <row r="793" spans="24:41" ht="8.4499999999999993" hidden="1" customHeight="1">
      <c r="X793" s="269"/>
      <c r="Y793" s="269"/>
      <c r="Z793" s="269"/>
      <c r="AA793" s="269"/>
      <c r="AB793" s="269"/>
      <c r="AC793" s="269"/>
      <c r="AD793" s="269"/>
      <c r="AE793" s="269"/>
      <c r="AF793" s="269"/>
      <c r="AG793" s="269"/>
      <c r="AH793" s="269"/>
      <c r="AI793" s="269"/>
      <c r="AJ793" s="269"/>
      <c r="AK793" s="269"/>
      <c r="AL793" s="269"/>
      <c r="AM793" s="269"/>
      <c r="AN793" s="269"/>
      <c r="AO793" s="269"/>
    </row>
    <row r="794" spans="24:41" ht="8.4499999999999993" hidden="1" customHeight="1">
      <c r="X794" s="269"/>
      <c r="Y794" s="269"/>
      <c r="Z794" s="269"/>
      <c r="AA794" s="269"/>
      <c r="AB794" s="269"/>
      <c r="AC794" s="269"/>
      <c r="AD794" s="269"/>
      <c r="AE794" s="269"/>
      <c r="AF794" s="269"/>
      <c r="AG794" s="269"/>
      <c r="AH794" s="269"/>
      <c r="AI794" s="269"/>
      <c r="AJ794" s="269"/>
      <c r="AK794" s="269"/>
      <c r="AL794" s="269"/>
      <c r="AM794" s="269"/>
      <c r="AN794" s="269"/>
      <c r="AO794" s="269"/>
    </row>
    <row r="795" spans="24:41" ht="8.4499999999999993" hidden="1" customHeight="1">
      <c r="X795" s="269"/>
      <c r="Y795" s="269"/>
      <c r="Z795" s="269"/>
      <c r="AA795" s="269"/>
      <c r="AB795" s="269"/>
      <c r="AC795" s="269"/>
      <c r="AD795" s="269"/>
      <c r="AE795" s="269"/>
      <c r="AF795" s="269"/>
      <c r="AG795" s="269"/>
      <c r="AH795" s="269"/>
      <c r="AI795" s="269"/>
      <c r="AJ795" s="269"/>
      <c r="AK795" s="269"/>
      <c r="AL795" s="269"/>
      <c r="AM795" s="269"/>
      <c r="AN795" s="269"/>
      <c r="AO795" s="269"/>
    </row>
    <row r="796" spans="24:41" ht="8.4499999999999993" hidden="1" customHeight="1">
      <c r="X796" s="259"/>
      <c r="Y796" s="259"/>
      <c r="Z796" s="259"/>
      <c r="AA796" s="259"/>
      <c r="AB796" s="259"/>
      <c r="AC796" s="259"/>
      <c r="AD796" s="259"/>
      <c r="AE796" s="259"/>
      <c r="AF796" s="259"/>
      <c r="AG796" s="259"/>
      <c r="AH796" s="259"/>
      <c r="AI796" s="259"/>
      <c r="AJ796" s="259"/>
      <c r="AK796" s="259"/>
      <c r="AL796" s="259"/>
      <c r="AM796" s="259"/>
      <c r="AN796" s="259"/>
      <c r="AO796" s="259"/>
    </row>
    <row r="797" spans="24:41" ht="8.4499999999999993" hidden="1" customHeight="1">
      <c r="X797" s="259"/>
      <c r="Y797" s="259"/>
      <c r="Z797" s="259"/>
      <c r="AA797" s="259"/>
      <c r="AB797" s="259"/>
      <c r="AC797" s="259"/>
      <c r="AD797" s="259"/>
      <c r="AE797" s="259"/>
      <c r="AF797" s="259"/>
      <c r="AG797" s="259"/>
      <c r="AH797" s="259"/>
      <c r="AI797" s="259"/>
      <c r="AJ797" s="259"/>
      <c r="AK797" s="259"/>
      <c r="AL797" s="259"/>
      <c r="AM797" s="259"/>
      <c r="AN797" s="259"/>
      <c r="AO797" s="259"/>
    </row>
    <row r="798" spans="24:41" ht="8.4499999999999993" hidden="1" customHeight="1">
      <c r="X798" s="269"/>
      <c r="Y798" s="269"/>
      <c r="Z798" s="269"/>
      <c r="AA798" s="269"/>
      <c r="AB798" s="269"/>
      <c r="AC798" s="269"/>
      <c r="AD798" s="269"/>
      <c r="AE798" s="269"/>
      <c r="AF798" s="269"/>
      <c r="AG798" s="269"/>
      <c r="AH798" s="269"/>
      <c r="AI798" s="269"/>
      <c r="AJ798" s="269"/>
      <c r="AK798" s="269"/>
      <c r="AL798" s="269"/>
      <c r="AM798" s="269"/>
      <c r="AN798" s="269"/>
      <c r="AO798" s="269"/>
    </row>
    <row r="799" spans="24:41" ht="8.4499999999999993" hidden="1" customHeight="1">
      <c r="X799" s="269"/>
      <c r="Y799" s="269"/>
      <c r="Z799" s="269"/>
      <c r="AA799" s="269"/>
      <c r="AB799" s="269"/>
      <c r="AC799" s="269"/>
      <c r="AD799" s="269"/>
      <c r="AE799" s="269"/>
      <c r="AF799" s="269"/>
      <c r="AG799" s="269"/>
      <c r="AH799" s="269"/>
      <c r="AI799" s="269"/>
      <c r="AJ799" s="269"/>
      <c r="AK799" s="269"/>
      <c r="AL799" s="269"/>
      <c r="AM799" s="269"/>
      <c r="AN799" s="269"/>
      <c r="AO799" s="269"/>
    </row>
    <row r="800" spans="24:41" ht="8.4499999999999993" hidden="1" customHeight="1">
      <c r="X800" s="269"/>
      <c r="Y800" s="269"/>
      <c r="Z800" s="269"/>
      <c r="AA800" s="269"/>
      <c r="AB800" s="269"/>
      <c r="AC800" s="269"/>
      <c r="AD800" s="269"/>
      <c r="AE800" s="269"/>
      <c r="AF800" s="269"/>
      <c r="AG800" s="269"/>
      <c r="AH800" s="269"/>
      <c r="AI800" s="269"/>
      <c r="AJ800" s="269"/>
      <c r="AK800" s="269"/>
      <c r="AL800" s="269"/>
      <c r="AM800" s="269"/>
      <c r="AN800" s="269"/>
      <c r="AO800" s="269"/>
    </row>
    <row r="801" spans="24:41" ht="8.4499999999999993" hidden="1" customHeight="1">
      <c r="X801" s="269"/>
      <c r="Y801" s="269"/>
      <c r="Z801" s="269"/>
      <c r="AA801" s="269"/>
      <c r="AB801" s="269"/>
      <c r="AC801" s="269"/>
      <c r="AD801" s="269"/>
      <c r="AE801" s="269"/>
      <c r="AF801" s="269"/>
      <c r="AG801" s="269"/>
      <c r="AH801" s="269"/>
      <c r="AI801" s="269"/>
      <c r="AJ801" s="269"/>
      <c r="AK801" s="269"/>
      <c r="AL801" s="269"/>
      <c r="AM801" s="269"/>
      <c r="AN801" s="269"/>
      <c r="AO801" s="269"/>
    </row>
    <row r="802" spans="24:41" ht="8.4499999999999993" hidden="1" customHeight="1">
      <c r="X802" s="269"/>
      <c r="Y802" s="269"/>
      <c r="Z802" s="269"/>
      <c r="AA802" s="269"/>
      <c r="AB802" s="269"/>
      <c r="AC802" s="269"/>
      <c r="AD802" s="269"/>
      <c r="AE802" s="269"/>
      <c r="AF802" s="269"/>
      <c r="AG802" s="269"/>
      <c r="AH802" s="269"/>
      <c r="AI802" s="269"/>
      <c r="AJ802" s="269"/>
      <c r="AK802" s="269"/>
      <c r="AL802" s="269"/>
      <c r="AM802" s="269"/>
      <c r="AN802" s="269"/>
      <c r="AO802" s="269"/>
    </row>
    <row r="803" spans="24:41" ht="8.4499999999999993" hidden="1" customHeight="1">
      <c r="X803" s="269"/>
      <c r="Y803" s="269"/>
      <c r="Z803" s="269"/>
      <c r="AA803" s="269"/>
      <c r="AB803" s="269"/>
      <c r="AC803" s="269"/>
      <c r="AD803" s="269"/>
      <c r="AE803" s="269"/>
      <c r="AF803" s="269"/>
      <c r="AG803" s="269"/>
      <c r="AH803" s="269"/>
      <c r="AI803" s="269"/>
      <c r="AJ803" s="269"/>
      <c r="AK803" s="269"/>
      <c r="AL803" s="269"/>
      <c r="AM803" s="269"/>
      <c r="AN803" s="269"/>
      <c r="AO803" s="269"/>
    </row>
    <row r="804" spans="24:41" ht="8.4499999999999993" hidden="1" customHeight="1">
      <c r="X804" s="269"/>
      <c r="Y804" s="269"/>
      <c r="Z804" s="269"/>
      <c r="AA804" s="269"/>
      <c r="AB804" s="269"/>
      <c r="AC804" s="269"/>
      <c r="AD804" s="269"/>
      <c r="AE804" s="269"/>
      <c r="AF804" s="269"/>
      <c r="AG804" s="269"/>
      <c r="AH804" s="269"/>
      <c r="AI804" s="269"/>
      <c r="AJ804" s="269"/>
      <c r="AK804" s="269"/>
      <c r="AL804" s="269"/>
      <c r="AM804" s="269"/>
      <c r="AN804" s="269"/>
      <c r="AO804" s="269"/>
    </row>
    <row r="805" spans="24:41" ht="8.4499999999999993" hidden="1" customHeight="1">
      <c r="X805" s="269"/>
      <c r="Y805" s="269"/>
      <c r="Z805" s="269"/>
      <c r="AA805" s="269"/>
      <c r="AB805" s="269"/>
      <c r="AC805" s="269"/>
      <c r="AD805" s="269"/>
      <c r="AE805" s="269"/>
      <c r="AF805" s="269"/>
      <c r="AG805" s="269"/>
      <c r="AH805" s="269"/>
      <c r="AI805" s="269"/>
      <c r="AJ805" s="269"/>
      <c r="AK805" s="269"/>
      <c r="AL805" s="269"/>
      <c r="AM805" s="269"/>
      <c r="AN805" s="269"/>
      <c r="AO805" s="269"/>
    </row>
    <row r="806" spans="24:41" ht="8.4499999999999993" hidden="1" customHeight="1">
      <c r="X806" s="269"/>
      <c r="Y806" s="269"/>
      <c r="Z806" s="269"/>
      <c r="AA806" s="269"/>
      <c r="AB806" s="269"/>
      <c r="AC806" s="269"/>
      <c r="AD806" s="269"/>
      <c r="AE806" s="269"/>
      <c r="AF806" s="269"/>
      <c r="AG806" s="269"/>
      <c r="AH806" s="269"/>
      <c r="AI806" s="269"/>
      <c r="AJ806" s="269"/>
      <c r="AK806" s="269"/>
      <c r="AL806" s="269"/>
      <c r="AM806" s="269"/>
      <c r="AN806" s="269"/>
      <c r="AO806" s="269"/>
    </row>
    <row r="807" spans="24:41" ht="8.4499999999999993" hidden="1" customHeight="1">
      <c r="X807" s="269"/>
      <c r="Y807" s="269"/>
      <c r="Z807" s="269"/>
      <c r="AA807" s="269"/>
      <c r="AB807" s="269"/>
      <c r="AC807" s="269"/>
      <c r="AD807" s="269"/>
      <c r="AE807" s="269"/>
      <c r="AF807" s="269"/>
      <c r="AG807" s="269"/>
      <c r="AH807" s="269"/>
      <c r="AI807" s="269"/>
      <c r="AJ807" s="269"/>
      <c r="AK807" s="269"/>
      <c r="AL807" s="269"/>
      <c r="AM807" s="269"/>
      <c r="AN807" s="269"/>
      <c r="AO807" s="269"/>
    </row>
    <row r="808" spans="24:41" ht="8.4499999999999993" hidden="1" customHeight="1">
      <c r="X808" s="269"/>
      <c r="Y808" s="269"/>
      <c r="Z808" s="269"/>
      <c r="AA808" s="269"/>
      <c r="AB808" s="269"/>
      <c r="AC808" s="269"/>
      <c r="AD808" s="269"/>
      <c r="AE808" s="269"/>
      <c r="AF808" s="269"/>
      <c r="AG808" s="269"/>
      <c r="AH808" s="269"/>
      <c r="AI808" s="269"/>
      <c r="AJ808" s="269"/>
      <c r="AK808" s="269"/>
      <c r="AL808" s="269"/>
      <c r="AM808" s="269"/>
      <c r="AN808" s="269"/>
      <c r="AO808" s="269"/>
    </row>
    <row r="809" spans="24:41" ht="8.4499999999999993" hidden="1" customHeight="1">
      <c r="X809" s="269"/>
      <c r="Y809" s="269"/>
      <c r="Z809" s="269"/>
      <c r="AA809" s="269"/>
      <c r="AB809" s="269"/>
      <c r="AC809" s="269"/>
      <c r="AD809" s="269"/>
      <c r="AE809" s="269"/>
      <c r="AF809" s="269"/>
      <c r="AG809" s="269"/>
      <c r="AH809" s="269"/>
      <c r="AI809" s="269"/>
      <c r="AJ809" s="269"/>
      <c r="AK809" s="269"/>
      <c r="AL809" s="269"/>
      <c r="AM809" s="269"/>
      <c r="AN809" s="269"/>
      <c r="AO809" s="269"/>
    </row>
    <row r="810" spans="24:41" ht="8.4499999999999993" hidden="1" customHeight="1">
      <c r="X810" s="269"/>
      <c r="Y810" s="269"/>
      <c r="Z810" s="269"/>
      <c r="AA810" s="269"/>
      <c r="AB810" s="269"/>
      <c r="AC810" s="269"/>
      <c r="AD810" s="269"/>
      <c r="AE810" s="269"/>
      <c r="AF810" s="269"/>
      <c r="AG810" s="269"/>
      <c r="AH810" s="269"/>
      <c r="AI810" s="269"/>
      <c r="AJ810" s="269"/>
      <c r="AK810" s="269"/>
      <c r="AL810" s="269"/>
      <c r="AM810" s="269"/>
      <c r="AN810" s="269"/>
      <c r="AO810" s="269"/>
    </row>
    <row r="811" spans="24:41" ht="8.4499999999999993" hidden="1" customHeight="1">
      <c r="X811" s="269"/>
      <c r="Y811" s="269"/>
      <c r="Z811" s="269"/>
      <c r="AA811" s="269"/>
      <c r="AB811" s="269"/>
      <c r="AC811" s="269"/>
      <c r="AD811" s="269"/>
      <c r="AE811" s="269"/>
      <c r="AF811" s="269"/>
      <c r="AG811" s="269"/>
      <c r="AH811" s="269"/>
      <c r="AI811" s="269"/>
      <c r="AJ811" s="269"/>
      <c r="AK811" s="269"/>
      <c r="AL811" s="269"/>
      <c r="AM811" s="269"/>
      <c r="AN811" s="269"/>
      <c r="AO811" s="269"/>
    </row>
    <row r="812" spans="24:41" ht="8.4499999999999993" hidden="1" customHeight="1">
      <c r="X812" s="269"/>
      <c r="Y812" s="269"/>
      <c r="Z812" s="269"/>
      <c r="AA812" s="269"/>
      <c r="AB812" s="269"/>
      <c r="AC812" s="269"/>
      <c r="AD812" s="269"/>
      <c r="AE812" s="269"/>
      <c r="AF812" s="269"/>
      <c r="AG812" s="269"/>
      <c r="AH812" s="269"/>
      <c r="AI812" s="269"/>
      <c r="AJ812" s="269"/>
      <c r="AK812" s="269"/>
      <c r="AL812" s="269"/>
      <c r="AM812" s="269"/>
      <c r="AN812" s="269"/>
      <c r="AO812" s="269"/>
    </row>
    <row r="813" spans="24:41" ht="8.4499999999999993" hidden="1" customHeight="1">
      <c r="X813" s="269"/>
      <c r="Y813" s="269"/>
      <c r="Z813" s="269"/>
      <c r="AA813" s="269"/>
      <c r="AB813" s="269"/>
      <c r="AC813" s="269"/>
      <c r="AD813" s="269"/>
      <c r="AE813" s="269"/>
      <c r="AF813" s="269"/>
      <c r="AG813" s="269"/>
      <c r="AH813" s="269"/>
      <c r="AI813" s="269"/>
      <c r="AJ813" s="269"/>
      <c r="AK813" s="269"/>
      <c r="AL813" s="269"/>
      <c r="AM813" s="269"/>
      <c r="AN813" s="269"/>
      <c r="AO813" s="269"/>
    </row>
    <row r="814" spans="24:41" ht="8.4499999999999993" hidden="1" customHeight="1">
      <c r="X814" s="269"/>
      <c r="Y814" s="269"/>
      <c r="Z814" s="269"/>
      <c r="AA814" s="269"/>
      <c r="AB814" s="269"/>
      <c r="AC814" s="269"/>
      <c r="AD814" s="269"/>
      <c r="AE814" s="269"/>
      <c r="AF814" s="269"/>
      <c r="AG814" s="269"/>
      <c r="AH814" s="269"/>
      <c r="AI814" s="269"/>
      <c r="AJ814" s="269"/>
      <c r="AK814" s="269"/>
      <c r="AL814" s="269"/>
      <c r="AM814" s="269"/>
      <c r="AN814" s="269"/>
      <c r="AO814" s="269"/>
    </row>
    <row r="815" spans="24:41" ht="8.4499999999999993" hidden="1" customHeight="1">
      <c r="X815" s="269"/>
      <c r="Y815" s="269"/>
      <c r="Z815" s="269"/>
      <c r="AA815" s="269"/>
      <c r="AB815" s="269"/>
      <c r="AC815" s="269"/>
      <c r="AD815" s="269"/>
      <c r="AE815" s="269"/>
      <c r="AF815" s="269"/>
      <c r="AG815" s="269"/>
      <c r="AH815" s="269"/>
      <c r="AI815" s="269"/>
      <c r="AJ815" s="269"/>
      <c r="AK815" s="269"/>
      <c r="AL815" s="269"/>
      <c r="AM815" s="269"/>
      <c r="AN815" s="269"/>
      <c r="AO815" s="269"/>
    </row>
    <row r="816" spans="24:41" ht="8.4499999999999993" hidden="1" customHeight="1">
      <c r="X816" s="269"/>
      <c r="Y816" s="269"/>
      <c r="Z816" s="269"/>
      <c r="AA816" s="269"/>
      <c r="AB816" s="269"/>
      <c r="AC816" s="269"/>
      <c r="AD816" s="269"/>
      <c r="AE816" s="269"/>
      <c r="AF816" s="269"/>
      <c r="AG816" s="269"/>
      <c r="AH816" s="269"/>
      <c r="AI816" s="269"/>
      <c r="AJ816" s="269"/>
      <c r="AK816" s="269"/>
      <c r="AL816" s="269"/>
      <c r="AM816" s="269"/>
      <c r="AN816" s="269"/>
      <c r="AO816" s="269"/>
    </row>
    <row r="817" spans="24:41" ht="8.4499999999999993" hidden="1" customHeight="1">
      <c r="X817" s="269"/>
      <c r="Y817" s="269"/>
      <c r="Z817" s="269"/>
      <c r="AA817" s="269"/>
      <c r="AB817" s="269"/>
      <c r="AC817" s="269"/>
      <c r="AD817" s="269"/>
      <c r="AE817" s="269"/>
      <c r="AF817" s="269"/>
      <c r="AG817" s="269"/>
      <c r="AH817" s="269"/>
      <c r="AI817" s="269"/>
      <c r="AJ817" s="269"/>
      <c r="AK817" s="269"/>
      <c r="AL817" s="269"/>
      <c r="AM817" s="269"/>
      <c r="AN817" s="269"/>
      <c r="AO817" s="269"/>
    </row>
    <row r="818" spans="24:41" ht="8.4499999999999993" hidden="1" customHeight="1">
      <c r="X818" s="269"/>
      <c r="Y818" s="269"/>
      <c r="Z818" s="269"/>
      <c r="AA818" s="269"/>
      <c r="AB818" s="269"/>
      <c r="AC818" s="269"/>
      <c r="AD818" s="269"/>
      <c r="AE818" s="269"/>
      <c r="AF818" s="269"/>
      <c r="AG818" s="269"/>
      <c r="AH818" s="269"/>
      <c r="AI818" s="269"/>
      <c r="AJ818" s="269"/>
      <c r="AK818" s="269"/>
      <c r="AL818" s="269"/>
      <c r="AM818" s="269"/>
      <c r="AN818" s="269"/>
      <c r="AO818" s="269"/>
    </row>
    <row r="819" spans="24:41" ht="8.4499999999999993" hidden="1" customHeight="1">
      <c r="X819" s="269"/>
      <c r="Y819" s="269"/>
      <c r="Z819" s="269"/>
      <c r="AA819" s="269"/>
      <c r="AB819" s="269"/>
      <c r="AC819" s="269"/>
      <c r="AD819" s="269"/>
      <c r="AE819" s="269"/>
      <c r="AF819" s="269"/>
      <c r="AG819" s="269"/>
      <c r="AH819" s="269"/>
      <c r="AI819" s="269"/>
      <c r="AJ819" s="269"/>
      <c r="AK819" s="269"/>
      <c r="AL819" s="269"/>
      <c r="AM819" s="269"/>
      <c r="AN819" s="269"/>
      <c r="AO819" s="269"/>
    </row>
    <row r="820" spans="24:41" ht="8.4499999999999993" hidden="1" customHeight="1">
      <c r="X820" s="269"/>
      <c r="Y820" s="269"/>
      <c r="Z820" s="269"/>
      <c r="AA820" s="269"/>
      <c r="AB820" s="269"/>
      <c r="AC820" s="269"/>
      <c r="AD820" s="269"/>
      <c r="AE820" s="269"/>
      <c r="AF820" s="269"/>
      <c r="AG820" s="269"/>
      <c r="AH820" s="269"/>
      <c r="AI820" s="269"/>
      <c r="AJ820" s="269"/>
      <c r="AK820" s="269"/>
      <c r="AL820" s="269"/>
      <c r="AM820" s="269"/>
      <c r="AN820" s="269"/>
      <c r="AO820" s="269"/>
    </row>
    <row r="821" spans="24:41" ht="8.4499999999999993" hidden="1" customHeight="1">
      <c r="X821" s="269"/>
      <c r="Y821" s="269"/>
      <c r="Z821" s="269"/>
      <c r="AA821" s="269"/>
      <c r="AB821" s="269"/>
      <c r="AC821" s="269"/>
      <c r="AD821" s="269"/>
      <c r="AE821" s="269"/>
      <c r="AF821" s="269"/>
      <c r="AG821" s="269"/>
      <c r="AH821" s="269"/>
      <c r="AI821" s="269"/>
      <c r="AJ821" s="269"/>
      <c r="AK821" s="269"/>
      <c r="AL821" s="269"/>
      <c r="AM821" s="269"/>
      <c r="AN821" s="269"/>
      <c r="AO821" s="269"/>
    </row>
    <row r="822" spans="24:41" ht="8.4499999999999993" hidden="1" customHeight="1">
      <c r="X822" s="269"/>
      <c r="Y822" s="269"/>
      <c r="Z822" s="269"/>
      <c r="AA822" s="269"/>
      <c r="AB822" s="269"/>
      <c r="AC822" s="269"/>
      <c r="AD822" s="269"/>
      <c r="AE822" s="269"/>
      <c r="AF822" s="269"/>
      <c r="AG822" s="269"/>
      <c r="AH822" s="269"/>
      <c r="AI822" s="269"/>
      <c r="AJ822" s="269"/>
      <c r="AK822" s="269"/>
      <c r="AL822" s="269"/>
      <c r="AM822" s="269"/>
      <c r="AN822" s="269"/>
      <c r="AO822" s="269"/>
    </row>
    <row r="823" spans="24:41" ht="8.4499999999999993" hidden="1" customHeight="1">
      <c r="X823" s="269"/>
      <c r="Y823" s="269"/>
      <c r="Z823" s="269"/>
      <c r="AA823" s="269"/>
      <c r="AB823" s="269"/>
      <c r="AC823" s="269"/>
      <c r="AD823" s="269"/>
      <c r="AE823" s="269"/>
      <c r="AF823" s="269"/>
      <c r="AG823" s="269"/>
      <c r="AH823" s="269"/>
      <c r="AI823" s="269"/>
      <c r="AJ823" s="269"/>
      <c r="AK823" s="269"/>
      <c r="AL823" s="269"/>
      <c r="AM823" s="269"/>
      <c r="AN823" s="269"/>
      <c r="AO823" s="269"/>
    </row>
    <row r="824" spans="24:41" ht="8.4499999999999993" hidden="1" customHeight="1">
      <c r="X824" s="269"/>
      <c r="Y824" s="269"/>
      <c r="Z824" s="269"/>
      <c r="AA824" s="269"/>
      <c r="AB824" s="269"/>
      <c r="AC824" s="269"/>
      <c r="AD824" s="269"/>
      <c r="AE824" s="269"/>
      <c r="AF824" s="269"/>
      <c r="AG824" s="269"/>
      <c r="AH824" s="269"/>
      <c r="AI824" s="269"/>
      <c r="AJ824" s="269"/>
      <c r="AK824" s="269"/>
      <c r="AL824" s="269"/>
      <c r="AM824" s="269"/>
      <c r="AN824" s="269"/>
      <c r="AO824" s="269"/>
    </row>
    <row r="825" spans="24:41" ht="8.4499999999999993" hidden="1" customHeight="1">
      <c r="X825" s="269"/>
      <c r="Y825" s="269"/>
      <c r="Z825" s="269"/>
      <c r="AA825" s="269"/>
      <c r="AB825" s="269"/>
      <c r="AC825" s="269"/>
      <c r="AD825" s="269"/>
      <c r="AE825" s="269"/>
      <c r="AF825" s="269"/>
      <c r="AG825" s="269"/>
      <c r="AH825" s="269"/>
      <c r="AI825" s="269"/>
      <c r="AJ825" s="269"/>
      <c r="AK825" s="269"/>
      <c r="AL825" s="269"/>
      <c r="AM825" s="269"/>
      <c r="AN825" s="269"/>
      <c r="AO825" s="269"/>
    </row>
    <row r="826" spans="24:41" ht="8.4499999999999993" hidden="1" customHeight="1">
      <c r="X826" s="269"/>
      <c r="Y826" s="269"/>
      <c r="Z826" s="269"/>
      <c r="AA826" s="269"/>
      <c r="AB826" s="269"/>
      <c r="AC826" s="269"/>
      <c r="AD826" s="269"/>
      <c r="AE826" s="269"/>
      <c r="AF826" s="269"/>
      <c r="AG826" s="269"/>
      <c r="AH826" s="269"/>
      <c r="AI826" s="269"/>
      <c r="AJ826" s="269"/>
      <c r="AK826" s="269"/>
      <c r="AL826" s="269"/>
      <c r="AM826" s="269"/>
      <c r="AN826" s="269"/>
      <c r="AO826" s="269"/>
    </row>
    <row r="827" spans="24:41" ht="8.4499999999999993" hidden="1" customHeight="1">
      <c r="X827" s="259"/>
      <c r="Y827" s="259"/>
      <c r="Z827" s="259"/>
      <c r="AA827" s="259"/>
      <c r="AB827" s="259"/>
      <c r="AC827" s="259"/>
      <c r="AD827" s="259"/>
      <c r="AE827" s="259"/>
      <c r="AF827" s="259"/>
      <c r="AG827" s="259"/>
      <c r="AH827" s="259"/>
      <c r="AI827" s="259"/>
      <c r="AJ827" s="259"/>
      <c r="AK827" s="259"/>
      <c r="AL827" s="259"/>
      <c r="AM827" s="259"/>
      <c r="AN827" s="259"/>
      <c r="AO827" s="259"/>
    </row>
    <row r="828" spans="24:41" ht="8.4499999999999993" hidden="1" customHeight="1">
      <c r="X828" s="259"/>
      <c r="Y828" s="259"/>
      <c r="Z828" s="259"/>
      <c r="AA828" s="259"/>
      <c r="AB828" s="259"/>
      <c r="AC828" s="259"/>
      <c r="AD828" s="259"/>
      <c r="AE828" s="259"/>
      <c r="AF828" s="259"/>
      <c r="AG828" s="259"/>
      <c r="AH828" s="259"/>
      <c r="AI828" s="259"/>
      <c r="AJ828" s="259"/>
      <c r="AK828" s="259"/>
      <c r="AL828" s="259"/>
      <c r="AM828" s="259"/>
      <c r="AN828" s="259"/>
      <c r="AO828" s="259"/>
    </row>
    <row r="829" spans="24:41" ht="8.4499999999999993" hidden="1" customHeight="1">
      <c r="X829" s="269"/>
      <c r="Y829" s="269"/>
      <c r="Z829" s="269"/>
      <c r="AA829" s="269"/>
      <c r="AB829" s="269"/>
      <c r="AC829" s="269"/>
      <c r="AD829" s="269"/>
      <c r="AE829" s="269"/>
      <c r="AF829" s="269"/>
      <c r="AG829" s="269"/>
      <c r="AH829" s="269"/>
      <c r="AI829" s="269"/>
      <c r="AJ829" s="269"/>
      <c r="AK829" s="269"/>
      <c r="AL829" s="269"/>
      <c r="AM829" s="269"/>
      <c r="AN829" s="269"/>
      <c r="AO829" s="269"/>
    </row>
    <row r="830" spans="24:41" ht="8.4499999999999993" hidden="1" customHeight="1">
      <c r="X830" s="269"/>
      <c r="Y830" s="269"/>
      <c r="Z830" s="269"/>
      <c r="AA830" s="269"/>
      <c r="AB830" s="269"/>
      <c r="AC830" s="269"/>
      <c r="AD830" s="269"/>
      <c r="AE830" s="269"/>
      <c r="AF830" s="269"/>
      <c r="AG830" s="269"/>
      <c r="AH830" s="269"/>
      <c r="AI830" s="269"/>
      <c r="AJ830" s="269"/>
      <c r="AK830" s="269"/>
      <c r="AL830" s="269"/>
      <c r="AM830" s="269"/>
      <c r="AN830" s="269"/>
      <c r="AO830" s="269"/>
    </row>
    <row r="831" spans="24:41" ht="8.4499999999999993" hidden="1" customHeight="1">
      <c r="X831" s="269"/>
      <c r="Y831" s="269"/>
      <c r="Z831" s="269"/>
      <c r="AA831" s="269"/>
      <c r="AB831" s="269"/>
      <c r="AC831" s="269"/>
      <c r="AD831" s="269"/>
      <c r="AE831" s="269"/>
      <c r="AF831" s="269"/>
      <c r="AG831" s="269"/>
      <c r="AH831" s="269"/>
      <c r="AI831" s="269"/>
      <c r="AJ831" s="269"/>
      <c r="AK831" s="269"/>
      <c r="AL831" s="269"/>
      <c r="AM831" s="269"/>
      <c r="AN831" s="269"/>
      <c r="AO831" s="269"/>
    </row>
    <row r="832" spans="24:41" ht="8.4499999999999993" hidden="1" customHeight="1">
      <c r="X832" s="269"/>
      <c r="Y832" s="269"/>
      <c r="Z832" s="269"/>
      <c r="AA832" s="269"/>
      <c r="AB832" s="269"/>
      <c r="AC832" s="269"/>
      <c r="AD832" s="269"/>
      <c r="AE832" s="269"/>
      <c r="AF832" s="269"/>
      <c r="AG832" s="269"/>
      <c r="AH832" s="269"/>
      <c r="AI832" s="269"/>
      <c r="AJ832" s="269"/>
      <c r="AK832" s="269"/>
      <c r="AL832" s="269"/>
      <c r="AM832" s="269"/>
      <c r="AN832" s="269"/>
      <c r="AO832" s="269"/>
    </row>
    <row r="833" spans="24:41" ht="8.4499999999999993" hidden="1" customHeight="1">
      <c r="X833" s="269"/>
      <c r="Y833" s="269"/>
      <c r="Z833" s="269"/>
      <c r="AA833" s="269"/>
      <c r="AB833" s="269"/>
      <c r="AC833" s="269"/>
      <c r="AD833" s="269"/>
      <c r="AE833" s="269"/>
      <c r="AF833" s="269"/>
      <c r="AG833" s="269"/>
      <c r="AH833" s="269"/>
      <c r="AI833" s="269"/>
      <c r="AJ833" s="269"/>
      <c r="AK833" s="269"/>
      <c r="AL833" s="269"/>
      <c r="AM833" s="269"/>
      <c r="AN833" s="269"/>
      <c r="AO833" s="269"/>
    </row>
    <row r="834" spans="24:41" ht="8.4499999999999993" hidden="1" customHeight="1">
      <c r="X834" s="269"/>
      <c r="Y834" s="269"/>
      <c r="Z834" s="269"/>
      <c r="AA834" s="269"/>
      <c r="AB834" s="269"/>
      <c r="AC834" s="269"/>
      <c r="AD834" s="269"/>
      <c r="AE834" s="269"/>
      <c r="AF834" s="269"/>
      <c r="AG834" s="269"/>
      <c r="AH834" s="269"/>
      <c r="AI834" s="269"/>
      <c r="AJ834" s="269"/>
      <c r="AK834" s="269"/>
      <c r="AL834" s="269"/>
      <c r="AM834" s="269"/>
      <c r="AN834" s="269"/>
      <c r="AO834" s="269"/>
    </row>
    <row r="835" spans="24:41" ht="8.4499999999999993" hidden="1" customHeight="1">
      <c r="X835" s="269"/>
      <c r="Y835" s="269"/>
      <c r="Z835" s="269"/>
      <c r="AA835" s="269"/>
      <c r="AB835" s="269"/>
      <c r="AC835" s="269"/>
      <c r="AD835" s="269"/>
      <c r="AE835" s="269"/>
      <c r="AF835" s="269"/>
      <c r="AG835" s="269"/>
      <c r="AH835" s="269"/>
      <c r="AI835" s="269"/>
      <c r="AJ835" s="269"/>
      <c r="AK835" s="269"/>
      <c r="AL835" s="269"/>
      <c r="AM835" s="269"/>
      <c r="AN835" s="269"/>
      <c r="AO835" s="269"/>
    </row>
    <row r="836" spans="24:41" ht="8.4499999999999993" hidden="1" customHeight="1">
      <c r="X836" s="269"/>
      <c r="Y836" s="269"/>
      <c r="Z836" s="269"/>
      <c r="AA836" s="269"/>
      <c r="AB836" s="269"/>
      <c r="AC836" s="269"/>
      <c r="AD836" s="269"/>
      <c r="AE836" s="269"/>
      <c r="AF836" s="269"/>
      <c r="AG836" s="269"/>
      <c r="AH836" s="269"/>
      <c r="AI836" s="269"/>
      <c r="AJ836" s="269"/>
      <c r="AK836" s="269"/>
      <c r="AL836" s="269"/>
      <c r="AM836" s="269"/>
      <c r="AN836" s="269"/>
      <c r="AO836" s="269"/>
    </row>
    <row r="837" spans="24:41" ht="8.4499999999999993" hidden="1" customHeight="1">
      <c r="X837" s="269"/>
      <c r="Y837" s="269"/>
      <c r="Z837" s="269"/>
      <c r="AA837" s="269"/>
      <c r="AB837" s="269"/>
      <c r="AC837" s="269"/>
      <c r="AD837" s="269"/>
      <c r="AE837" s="269"/>
      <c r="AF837" s="269"/>
      <c r="AG837" s="269"/>
      <c r="AH837" s="269"/>
      <c r="AI837" s="269"/>
      <c r="AJ837" s="269"/>
      <c r="AK837" s="269"/>
      <c r="AL837" s="269"/>
      <c r="AM837" s="269"/>
      <c r="AN837" s="269"/>
      <c r="AO837" s="269"/>
    </row>
    <row r="838" spans="24:41" ht="8.4499999999999993" hidden="1" customHeight="1">
      <c r="X838" s="269"/>
      <c r="Y838" s="269"/>
      <c r="Z838" s="269"/>
      <c r="AA838" s="269"/>
      <c r="AB838" s="269"/>
      <c r="AC838" s="269"/>
      <c r="AD838" s="269"/>
      <c r="AE838" s="269"/>
      <c r="AF838" s="269"/>
      <c r="AG838" s="269"/>
      <c r="AH838" s="269"/>
      <c r="AI838" s="269"/>
      <c r="AJ838" s="269"/>
      <c r="AK838" s="269"/>
      <c r="AL838" s="269"/>
      <c r="AM838" s="269"/>
      <c r="AN838" s="269"/>
      <c r="AO838" s="269"/>
    </row>
    <row r="839" spans="24:41" ht="8.4499999999999993" hidden="1" customHeight="1">
      <c r="X839" s="269"/>
      <c r="Y839" s="269"/>
      <c r="Z839" s="269"/>
      <c r="AA839" s="269"/>
      <c r="AB839" s="269"/>
      <c r="AC839" s="269"/>
      <c r="AD839" s="269"/>
      <c r="AE839" s="269"/>
      <c r="AF839" s="269"/>
      <c r="AG839" s="269"/>
      <c r="AH839" s="269"/>
      <c r="AI839" s="269"/>
      <c r="AJ839" s="269"/>
      <c r="AK839" s="269"/>
      <c r="AL839" s="269"/>
      <c r="AM839" s="269"/>
      <c r="AN839" s="269"/>
      <c r="AO839" s="269"/>
    </row>
    <row r="840" spans="24:41" ht="8.4499999999999993" hidden="1" customHeight="1">
      <c r="X840" s="269"/>
      <c r="Y840" s="269"/>
      <c r="Z840" s="269"/>
      <c r="AA840" s="269"/>
      <c r="AB840" s="269"/>
      <c r="AC840" s="269"/>
      <c r="AD840" s="269"/>
      <c r="AE840" s="269"/>
      <c r="AF840" s="269"/>
      <c r="AG840" s="269"/>
      <c r="AH840" s="269"/>
      <c r="AI840" s="269"/>
      <c r="AJ840" s="269"/>
      <c r="AK840" s="269"/>
      <c r="AL840" s="269"/>
      <c r="AM840" s="269"/>
      <c r="AN840" s="269"/>
      <c r="AO840" s="269"/>
    </row>
    <row r="841" spans="24:41" ht="8.4499999999999993" hidden="1" customHeight="1">
      <c r="X841" s="269"/>
      <c r="Y841" s="269"/>
      <c r="Z841" s="269"/>
      <c r="AA841" s="269"/>
      <c r="AB841" s="269"/>
      <c r="AC841" s="269"/>
      <c r="AD841" s="269"/>
      <c r="AE841" s="269"/>
      <c r="AF841" s="269"/>
      <c r="AG841" s="269"/>
      <c r="AH841" s="269"/>
      <c r="AI841" s="269"/>
      <c r="AJ841" s="269"/>
      <c r="AK841" s="269"/>
      <c r="AL841" s="269"/>
      <c r="AM841" s="269"/>
      <c r="AN841" s="269"/>
      <c r="AO841" s="269"/>
    </row>
    <row r="842" spans="24:41" ht="8.4499999999999993" hidden="1" customHeight="1">
      <c r="X842" s="269"/>
      <c r="Y842" s="269"/>
      <c r="Z842" s="269"/>
      <c r="AA842" s="269"/>
      <c r="AB842" s="269"/>
      <c r="AC842" s="269"/>
      <c r="AD842" s="269"/>
      <c r="AE842" s="269"/>
      <c r="AF842" s="269"/>
      <c r="AG842" s="269"/>
      <c r="AH842" s="269"/>
      <c r="AI842" s="269"/>
      <c r="AJ842" s="269"/>
      <c r="AK842" s="269"/>
      <c r="AL842" s="269"/>
      <c r="AM842" s="269"/>
      <c r="AN842" s="269"/>
      <c r="AO842" s="269"/>
    </row>
    <row r="843" spans="24:41" ht="8.4499999999999993" hidden="1" customHeight="1">
      <c r="X843" s="269"/>
      <c r="Y843" s="269"/>
      <c r="Z843" s="269"/>
      <c r="AA843" s="269"/>
      <c r="AB843" s="269"/>
      <c r="AC843" s="269"/>
      <c r="AD843" s="269"/>
      <c r="AE843" s="269"/>
      <c r="AF843" s="269"/>
      <c r="AG843" s="269"/>
      <c r="AH843" s="269"/>
      <c r="AI843" s="269"/>
      <c r="AJ843" s="269"/>
      <c r="AK843" s="269"/>
      <c r="AL843" s="269"/>
      <c r="AM843" s="269"/>
      <c r="AN843" s="269"/>
      <c r="AO843" s="269"/>
    </row>
    <row r="844" spans="24:41" ht="8.4499999999999993" hidden="1" customHeight="1">
      <c r="X844" s="269"/>
      <c r="Y844" s="269"/>
      <c r="Z844" s="269"/>
      <c r="AA844" s="269"/>
      <c r="AB844" s="269"/>
      <c r="AC844" s="269"/>
      <c r="AD844" s="269"/>
      <c r="AE844" s="269"/>
      <c r="AF844" s="269"/>
      <c r="AG844" s="269"/>
      <c r="AH844" s="269"/>
      <c r="AI844" s="269"/>
      <c r="AJ844" s="269"/>
      <c r="AK844" s="269"/>
      <c r="AL844" s="269"/>
      <c r="AM844" s="269"/>
      <c r="AN844" s="269"/>
      <c r="AO844" s="269"/>
    </row>
    <row r="845" spans="24:41" ht="8.4499999999999993" hidden="1" customHeight="1">
      <c r="X845" s="269"/>
      <c r="Y845" s="269"/>
      <c r="Z845" s="269"/>
      <c r="AA845" s="269"/>
      <c r="AB845" s="269"/>
      <c r="AC845" s="269"/>
      <c r="AD845" s="269"/>
      <c r="AE845" s="269"/>
      <c r="AF845" s="269"/>
      <c r="AG845" s="269"/>
      <c r="AH845" s="269"/>
      <c r="AI845" s="269"/>
      <c r="AJ845" s="269"/>
      <c r="AK845" s="269"/>
      <c r="AL845" s="269"/>
      <c r="AM845" s="269"/>
      <c r="AN845" s="269"/>
      <c r="AO845" s="269"/>
    </row>
    <row r="846" spans="24:41" ht="8.4499999999999993" hidden="1" customHeight="1">
      <c r="X846" s="269"/>
      <c r="Y846" s="269"/>
      <c r="Z846" s="269"/>
      <c r="AA846" s="269"/>
      <c r="AB846" s="269"/>
      <c r="AC846" s="269"/>
      <c r="AD846" s="269"/>
      <c r="AE846" s="269"/>
      <c r="AF846" s="269"/>
      <c r="AG846" s="269"/>
      <c r="AH846" s="269"/>
      <c r="AI846" s="269"/>
      <c r="AJ846" s="269"/>
      <c r="AK846" s="269"/>
      <c r="AL846" s="269"/>
      <c r="AM846" s="269"/>
      <c r="AN846" s="269"/>
      <c r="AO846" s="269"/>
    </row>
    <row r="847" spans="24:41" ht="8.4499999999999993" hidden="1" customHeight="1">
      <c r="X847" s="269"/>
      <c r="Y847" s="269"/>
      <c r="Z847" s="269"/>
      <c r="AA847" s="269"/>
      <c r="AB847" s="269"/>
      <c r="AC847" s="269"/>
      <c r="AD847" s="269"/>
      <c r="AE847" s="269"/>
      <c r="AF847" s="269"/>
      <c r="AG847" s="269"/>
      <c r="AH847" s="269"/>
      <c r="AI847" s="269"/>
      <c r="AJ847" s="269"/>
      <c r="AK847" s="269"/>
      <c r="AL847" s="269"/>
      <c r="AM847" s="269"/>
      <c r="AN847" s="269"/>
      <c r="AO847" s="269"/>
    </row>
    <row r="848" spans="24:41" ht="8.4499999999999993" hidden="1" customHeight="1">
      <c r="X848" s="269"/>
      <c r="Y848" s="269"/>
      <c r="Z848" s="269"/>
      <c r="AA848" s="269"/>
      <c r="AB848" s="269"/>
      <c r="AC848" s="269"/>
      <c r="AD848" s="269"/>
      <c r="AE848" s="269"/>
      <c r="AF848" s="269"/>
      <c r="AG848" s="269"/>
      <c r="AH848" s="269"/>
      <c r="AI848" s="269"/>
      <c r="AJ848" s="269"/>
      <c r="AK848" s="269"/>
      <c r="AL848" s="269"/>
      <c r="AM848" s="269"/>
      <c r="AN848" s="269"/>
      <c r="AO848" s="269"/>
    </row>
    <row r="849" spans="24:41" ht="8.4499999999999993" hidden="1" customHeight="1">
      <c r="X849" s="269"/>
      <c r="Y849" s="269"/>
      <c r="Z849" s="269"/>
      <c r="AA849" s="269"/>
      <c r="AB849" s="269"/>
      <c r="AC849" s="269"/>
      <c r="AD849" s="269"/>
      <c r="AE849" s="269"/>
      <c r="AF849" s="269"/>
      <c r="AG849" s="269"/>
      <c r="AH849" s="269"/>
      <c r="AI849" s="269"/>
      <c r="AJ849" s="269"/>
      <c r="AK849" s="269"/>
      <c r="AL849" s="269"/>
      <c r="AM849" s="269"/>
      <c r="AN849" s="269"/>
      <c r="AO849" s="269"/>
    </row>
    <row r="850" spans="24:41" ht="8.4499999999999993" hidden="1" customHeight="1">
      <c r="X850" s="269"/>
      <c r="Y850" s="269"/>
      <c r="Z850" s="269"/>
      <c r="AA850" s="269"/>
      <c r="AB850" s="269"/>
      <c r="AC850" s="269"/>
      <c r="AD850" s="269"/>
      <c r="AE850" s="269"/>
      <c r="AF850" s="269"/>
      <c r="AG850" s="269"/>
      <c r="AH850" s="269"/>
      <c r="AI850" s="269"/>
      <c r="AJ850" s="269"/>
      <c r="AK850" s="269"/>
      <c r="AL850" s="269"/>
      <c r="AM850" s="269"/>
      <c r="AN850" s="269"/>
      <c r="AO850" s="269"/>
    </row>
    <row r="851" spans="24:41" ht="8.4499999999999993" hidden="1" customHeight="1">
      <c r="X851" s="269"/>
      <c r="Y851" s="269"/>
      <c r="Z851" s="269"/>
      <c r="AA851" s="269"/>
      <c r="AB851" s="269"/>
      <c r="AC851" s="269"/>
      <c r="AD851" s="269"/>
      <c r="AE851" s="269"/>
      <c r="AF851" s="269"/>
      <c r="AG851" s="269"/>
      <c r="AH851" s="269"/>
      <c r="AI851" s="269"/>
      <c r="AJ851" s="269"/>
      <c r="AK851" s="269"/>
      <c r="AL851" s="269"/>
      <c r="AM851" s="269"/>
      <c r="AN851" s="269"/>
      <c r="AO851" s="269"/>
    </row>
    <row r="852" spans="24:41" ht="8.4499999999999993" hidden="1" customHeight="1">
      <c r="X852" s="269"/>
      <c r="Y852" s="269"/>
      <c r="Z852" s="269"/>
      <c r="AA852" s="269"/>
      <c r="AB852" s="269"/>
      <c r="AC852" s="269"/>
      <c r="AD852" s="269"/>
      <c r="AE852" s="269"/>
      <c r="AF852" s="269"/>
      <c r="AG852" s="269"/>
      <c r="AH852" s="269"/>
      <c r="AI852" s="269"/>
      <c r="AJ852" s="269"/>
      <c r="AK852" s="269"/>
      <c r="AL852" s="269"/>
      <c r="AM852" s="269"/>
      <c r="AN852" s="269"/>
      <c r="AO852" s="269"/>
    </row>
    <row r="853" spans="24:41" ht="8.4499999999999993" hidden="1" customHeight="1">
      <c r="X853" s="269"/>
      <c r="Y853" s="269"/>
      <c r="Z853" s="269"/>
      <c r="AA853" s="269"/>
      <c r="AB853" s="269"/>
      <c r="AC853" s="269"/>
      <c r="AD853" s="269"/>
      <c r="AE853" s="269"/>
      <c r="AF853" s="269"/>
      <c r="AG853" s="269"/>
      <c r="AH853" s="269"/>
      <c r="AI853" s="269"/>
      <c r="AJ853" s="269"/>
      <c r="AK853" s="269"/>
      <c r="AL853" s="269"/>
      <c r="AM853" s="269"/>
      <c r="AN853" s="269"/>
      <c r="AO853" s="269"/>
    </row>
    <row r="854" spans="24:41" ht="8.4499999999999993" hidden="1" customHeight="1">
      <c r="X854" s="269"/>
      <c r="Y854" s="269"/>
      <c r="Z854" s="269"/>
      <c r="AA854" s="269"/>
      <c r="AB854" s="269"/>
      <c r="AC854" s="269"/>
      <c r="AD854" s="269"/>
      <c r="AE854" s="269"/>
      <c r="AF854" s="269"/>
      <c r="AG854" s="269"/>
      <c r="AH854" s="269"/>
      <c r="AI854" s="269"/>
      <c r="AJ854" s="269"/>
      <c r="AK854" s="269"/>
      <c r="AL854" s="269"/>
      <c r="AM854" s="269"/>
      <c r="AN854" s="269"/>
      <c r="AO854" s="269"/>
    </row>
    <row r="855" spans="24:41" ht="8.4499999999999993" hidden="1" customHeight="1">
      <c r="X855" s="269"/>
      <c r="Y855" s="269"/>
      <c r="Z855" s="269"/>
      <c r="AA855" s="269"/>
      <c r="AB855" s="269"/>
      <c r="AC855" s="269"/>
      <c r="AD855" s="269"/>
      <c r="AE855" s="269"/>
      <c r="AF855" s="269"/>
      <c r="AG855" s="269"/>
      <c r="AH855" s="269"/>
      <c r="AI855" s="269"/>
      <c r="AJ855" s="269"/>
      <c r="AK855" s="269"/>
      <c r="AL855" s="269"/>
      <c r="AM855" s="269"/>
      <c r="AN855" s="269"/>
      <c r="AO855" s="269"/>
    </row>
    <row r="856" spans="24:41" ht="8.4499999999999993" hidden="1" customHeight="1">
      <c r="X856" s="269"/>
      <c r="Y856" s="269"/>
      <c r="Z856" s="269"/>
      <c r="AA856" s="269"/>
      <c r="AB856" s="269"/>
      <c r="AC856" s="269"/>
      <c r="AD856" s="269"/>
      <c r="AE856" s="269"/>
      <c r="AF856" s="269"/>
      <c r="AG856" s="269"/>
      <c r="AH856" s="269"/>
      <c r="AI856" s="269"/>
      <c r="AJ856" s="269"/>
      <c r="AK856" s="269"/>
      <c r="AL856" s="269"/>
      <c r="AM856" s="269"/>
      <c r="AN856" s="269"/>
      <c r="AO856" s="269"/>
    </row>
    <row r="857" spans="24:41" ht="8.4499999999999993" hidden="1" customHeight="1">
      <c r="X857" s="269"/>
      <c r="Y857" s="269"/>
      <c r="Z857" s="269"/>
      <c r="AA857" s="269"/>
      <c r="AB857" s="269"/>
      <c r="AC857" s="269"/>
      <c r="AD857" s="269"/>
      <c r="AE857" s="269"/>
      <c r="AF857" s="269"/>
      <c r="AG857" s="269"/>
      <c r="AH857" s="269"/>
      <c r="AI857" s="269"/>
      <c r="AJ857" s="269"/>
      <c r="AK857" s="269"/>
      <c r="AL857" s="269"/>
      <c r="AM857" s="269"/>
      <c r="AN857" s="269"/>
      <c r="AO857" s="269"/>
    </row>
    <row r="858" spans="24:41" ht="8.4499999999999993" hidden="1" customHeight="1">
      <c r="X858" s="269"/>
      <c r="Y858" s="269"/>
      <c r="Z858" s="269"/>
      <c r="AA858" s="269"/>
      <c r="AB858" s="269"/>
      <c r="AC858" s="269"/>
      <c r="AD858" s="269"/>
      <c r="AE858" s="269"/>
      <c r="AF858" s="269"/>
      <c r="AG858" s="269"/>
      <c r="AH858" s="269"/>
      <c r="AI858" s="269"/>
      <c r="AJ858" s="269"/>
      <c r="AK858" s="269"/>
      <c r="AL858" s="269"/>
      <c r="AM858" s="269"/>
      <c r="AN858" s="269"/>
      <c r="AO858" s="269"/>
    </row>
    <row r="859" spans="24:41" ht="8.4499999999999993" hidden="1" customHeight="1">
      <c r="X859" s="269"/>
      <c r="Y859" s="269"/>
      <c r="Z859" s="269"/>
      <c r="AA859" s="269"/>
      <c r="AB859" s="269"/>
      <c r="AC859" s="269"/>
      <c r="AD859" s="269"/>
      <c r="AE859" s="269"/>
      <c r="AF859" s="269"/>
      <c r="AG859" s="269"/>
      <c r="AH859" s="269"/>
      <c r="AI859" s="269"/>
      <c r="AJ859" s="269"/>
      <c r="AK859" s="269"/>
      <c r="AL859" s="269"/>
      <c r="AM859" s="269"/>
      <c r="AN859" s="269"/>
      <c r="AO859" s="269"/>
    </row>
    <row r="860" spans="24:41" ht="8.4499999999999993" hidden="1" customHeight="1">
      <c r="X860" s="269"/>
      <c r="Y860" s="269"/>
      <c r="Z860" s="269"/>
      <c r="AA860" s="269"/>
      <c r="AB860" s="269"/>
      <c r="AC860" s="269"/>
      <c r="AD860" s="269"/>
      <c r="AE860" s="269"/>
      <c r="AF860" s="269"/>
      <c r="AG860" s="269"/>
      <c r="AH860" s="269"/>
      <c r="AI860" s="269"/>
      <c r="AJ860" s="269"/>
      <c r="AK860" s="269"/>
      <c r="AL860" s="269"/>
      <c r="AM860" s="269"/>
      <c r="AN860" s="269"/>
      <c r="AO860" s="269"/>
    </row>
    <row r="861" spans="24:41" ht="8.4499999999999993" hidden="1" customHeight="1">
      <c r="X861" s="269"/>
      <c r="Y861" s="269"/>
      <c r="Z861" s="269"/>
      <c r="AA861" s="269"/>
      <c r="AB861" s="269"/>
      <c r="AC861" s="269"/>
      <c r="AD861" s="269"/>
      <c r="AE861" s="269"/>
      <c r="AF861" s="269"/>
      <c r="AG861" s="269"/>
      <c r="AH861" s="269"/>
      <c r="AI861" s="269"/>
      <c r="AJ861" s="269"/>
      <c r="AK861" s="269"/>
      <c r="AL861" s="269"/>
      <c r="AM861" s="269"/>
      <c r="AN861" s="269"/>
      <c r="AO861" s="269"/>
    </row>
    <row r="862" spans="24:41" ht="8.4499999999999993" hidden="1" customHeight="1">
      <c r="X862" s="269"/>
      <c r="Y862" s="269"/>
      <c r="Z862" s="269"/>
      <c r="AA862" s="269"/>
      <c r="AB862" s="269"/>
      <c r="AC862" s="269"/>
      <c r="AD862" s="269"/>
      <c r="AE862" s="269"/>
      <c r="AF862" s="269"/>
      <c r="AG862" s="269"/>
      <c r="AH862" s="269"/>
      <c r="AI862" s="269"/>
      <c r="AJ862" s="269"/>
      <c r="AK862" s="269"/>
      <c r="AL862" s="269"/>
      <c r="AM862" s="269"/>
      <c r="AN862" s="269"/>
      <c r="AO862" s="269"/>
    </row>
    <row r="863" spans="24:41" ht="8.4499999999999993" hidden="1" customHeight="1">
      <c r="X863" s="269"/>
      <c r="Y863" s="269"/>
      <c r="Z863" s="269"/>
      <c r="AA863" s="269"/>
      <c r="AB863" s="269"/>
      <c r="AC863" s="269"/>
      <c r="AD863" s="269"/>
      <c r="AE863" s="269"/>
      <c r="AF863" s="269"/>
      <c r="AG863" s="269"/>
      <c r="AH863" s="269"/>
      <c r="AI863" s="269"/>
      <c r="AJ863" s="269"/>
      <c r="AK863" s="269"/>
      <c r="AL863" s="269"/>
      <c r="AM863" s="269"/>
      <c r="AN863" s="269"/>
      <c r="AO863" s="269"/>
    </row>
    <row r="864" spans="24:41" ht="8.4499999999999993" hidden="1" customHeight="1">
      <c r="X864" s="259"/>
      <c r="Y864" s="259"/>
      <c r="Z864" s="259"/>
      <c r="AA864" s="259"/>
      <c r="AB864" s="259"/>
      <c r="AC864" s="259"/>
      <c r="AD864" s="259"/>
      <c r="AE864" s="259"/>
      <c r="AF864" s="259"/>
      <c r="AG864" s="259"/>
      <c r="AH864" s="259"/>
      <c r="AI864" s="259"/>
      <c r="AJ864" s="259"/>
      <c r="AK864" s="259"/>
      <c r="AL864" s="259"/>
      <c r="AM864" s="259"/>
      <c r="AN864" s="259"/>
      <c r="AO864" s="259"/>
    </row>
    <row r="865" spans="8:41" ht="8.4499999999999993" hidden="1" customHeight="1">
      <c r="X865" s="259"/>
      <c r="Y865" s="259"/>
      <c r="Z865" s="259"/>
      <c r="AA865" s="259"/>
      <c r="AB865" s="259"/>
      <c r="AC865" s="259"/>
      <c r="AD865" s="259"/>
      <c r="AE865" s="259"/>
      <c r="AF865" s="259"/>
      <c r="AG865" s="259"/>
      <c r="AH865" s="259"/>
      <c r="AI865" s="259"/>
      <c r="AJ865" s="259"/>
      <c r="AK865" s="259"/>
      <c r="AL865" s="259"/>
      <c r="AM865" s="259"/>
      <c r="AN865" s="259"/>
      <c r="AO865" s="259"/>
    </row>
    <row r="866" spans="8:41" ht="8.4499999999999993" hidden="1" customHeight="1">
      <c r="X866" s="259"/>
      <c r="Y866" s="259"/>
      <c r="Z866" s="259"/>
      <c r="AA866" s="259"/>
      <c r="AB866" s="259"/>
      <c r="AC866" s="259"/>
      <c r="AD866" s="259"/>
      <c r="AE866" s="259"/>
      <c r="AF866" s="259"/>
      <c r="AG866" s="259"/>
      <c r="AH866" s="259"/>
      <c r="AI866" s="259"/>
      <c r="AJ866" s="259"/>
      <c r="AK866" s="259"/>
      <c r="AL866" s="259"/>
      <c r="AM866" s="259"/>
      <c r="AN866" s="259"/>
      <c r="AO866" s="259"/>
    </row>
    <row r="867" spans="8:41">
      <c r="H867" s="468">
        <v>50927810</v>
      </c>
      <c r="I867" s="468">
        <f>'[3]PRIH REBALANS'!$AH$312</f>
        <v>18471868</v>
      </c>
      <c r="J867" s="468">
        <f>'[3]PRIH REBALANS'!$AJ$312</f>
        <v>6636340</v>
      </c>
      <c r="K867" s="468">
        <f>H867+I867+J867</f>
        <v>76036018</v>
      </c>
      <c r="L867" s="2884">
        <f>'[9]PRIH REBALANS'!$AG$292</f>
        <v>45488110</v>
      </c>
      <c r="M867" s="2884">
        <f>'[1]PRIH REBALANS'!$AH$292</f>
        <v>13789967</v>
      </c>
      <c r="N867" s="2884">
        <f>'[9]PRIH REBALANS'!$AJ$292</f>
        <v>1772311</v>
      </c>
      <c r="O867" s="2884">
        <f>'[1]PRIH REBALANS'!$AK$292</f>
        <v>61050388</v>
      </c>
      <c r="P867" s="2885">
        <f>'[3]PRIH REBALANS'!$AG$312+'[3]PRIH REBALANS'!$AH$312+'[3]PRIH REBALANS'!$AJ$312</f>
        <v>76036018</v>
      </c>
      <c r="Q867" s="697"/>
      <c r="R867" s="2210"/>
      <c r="S867" s="697"/>
      <c r="T867" s="209"/>
      <c r="U867" s="209">
        <f>K867</f>
        <v>76036018</v>
      </c>
    </row>
    <row r="868" spans="8:41">
      <c r="H868" s="2886"/>
      <c r="I868" s="2886" t="s">
        <v>1518</v>
      </c>
      <c r="J868" s="2886">
        <f>J44+J37+J34+J32+J29+J26+J23+J20+J18+J16</f>
        <v>3451349</v>
      </c>
      <c r="K868" s="2886" t="e">
        <f>I868+J868</f>
        <v>#VALUE!</v>
      </c>
      <c r="L868" s="2887">
        <f>L45-L867</f>
        <v>0</v>
      </c>
      <c r="M868" s="2887">
        <f t="shared" ref="M868:P868" si="25">M45-M867</f>
        <v>0</v>
      </c>
      <c r="N868" s="2887">
        <f t="shared" si="25"/>
        <v>0</v>
      </c>
      <c r="O868" s="2887">
        <f t="shared" si="25"/>
        <v>0</v>
      </c>
      <c r="P868" s="2887">
        <f t="shared" si="25"/>
        <v>-76035940.7439944</v>
      </c>
      <c r="Q868" s="1738"/>
      <c r="R868" s="1738"/>
      <c r="S868" s="173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9"/>
      <c r="AE868" s="29"/>
      <c r="AF868" s="29"/>
      <c r="AG868" s="29"/>
      <c r="AH868" s="30"/>
    </row>
    <row r="869" spans="8:41">
      <c r="H869" s="2888">
        <f>H867+H868</f>
        <v>50927810</v>
      </c>
      <c r="I869" s="2888" t="e">
        <f t="shared" ref="I869:P869" si="26">I867+I868</f>
        <v>#VALUE!</v>
      </c>
      <c r="J869" s="2888">
        <f t="shared" si="26"/>
        <v>10087689</v>
      </c>
      <c r="K869" s="2888" t="e">
        <f t="shared" si="26"/>
        <v>#VALUE!</v>
      </c>
      <c r="L869" s="2889"/>
      <c r="M869" s="2889"/>
      <c r="N869" s="2889"/>
      <c r="O869" s="2889"/>
      <c r="P869" s="2890">
        <f t="shared" si="26"/>
        <v>77.256005600094795</v>
      </c>
      <c r="Q869" s="1739"/>
      <c r="R869" s="2202"/>
      <c r="S869" s="1739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1"/>
      <c r="AE869" s="31"/>
      <c r="AF869" s="31"/>
      <c r="AG869" s="31"/>
      <c r="AH869" s="30"/>
    </row>
    <row r="870" spans="8:41">
      <c r="H870" s="2891">
        <f>H869-H47</f>
        <v>0</v>
      </c>
      <c r="I870" s="2891" t="e">
        <f t="shared" ref="I870:P870" si="27">I869-I47</f>
        <v>#VALUE!</v>
      </c>
      <c r="J870" s="2891">
        <f t="shared" si="27"/>
        <v>3451349</v>
      </c>
      <c r="K870" s="2891" t="e">
        <f t="shared" si="27"/>
        <v>#VALUE!</v>
      </c>
      <c r="L870" s="2890"/>
      <c r="M870" s="2890"/>
      <c r="N870" s="2890"/>
      <c r="O870" s="2890"/>
      <c r="P870" s="2890">
        <f t="shared" si="27"/>
        <v>77.256005600094795</v>
      </c>
      <c r="Q870" s="1739"/>
      <c r="R870" s="2202"/>
      <c r="S870" s="1739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1"/>
      <c r="AE870" s="31"/>
      <c r="AF870" s="31"/>
      <c r="AG870" s="31"/>
      <c r="AH870" s="30"/>
    </row>
    <row r="871" spans="8:41">
      <c r="H871" s="2891"/>
      <c r="I871" s="2891"/>
      <c r="J871" s="2891"/>
      <c r="K871" s="2891"/>
      <c r="L871" s="2890"/>
      <c r="M871" s="2890"/>
      <c r="N871" s="2890"/>
      <c r="O871" s="2890"/>
      <c r="P871" s="2890"/>
      <c r="Q871" s="1739"/>
      <c r="R871" s="2202"/>
      <c r="S871" s="1739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</row>
    <row r="872" spans="8:41">
      <c r="H872" s="2891"/>
      <c r="I872" s="2891">
        <f>I867-I45</f>
        <v>14705704</v>
      </c>
      <c r="J872" s="2891"/>
      <c r="K872" s="2891"/>
      <c r="L872" s="2890"/>
      <c r="M872" s="2890"/>
      <c r="N872" s="2890"/>
      <c r="O872" s="2890"/>
      <c r="P872" s="2890"/>
      <c r="Q872" s="1739"/>
      <c r="R872" s="2202"/>
      <c r="S872" s="1739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</row>
    <row r="873" spans="8:41">
      <c r="H873" s="2891"/>
      <c r="I873" s="2891"/>
      <c r="J873" s="2891"/>
      <c r="K873" s="2891"/>
      <c r="L873" s="2890"/>
      <c r="M873" s="2890"/>
      <c r="N873" s="2890"/>
      <c r="O873" s="2890"/>
      <c r="P873" s="2890"/>
      <c r="Q873" s="1739"/>
      <c r="R873" s="2202"/>
      <c r="S873" s="1739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</row>
    <row r="874" spans="8:41">
      <c r="H874" s="2891"/>
      <c r="I874" s="2891"/>
      <c r="J874" s="2891"/>
      <c r="K874" s="2891"/>
      <c r="L874" s="2890"/>
      <c r="M874" s="2890"/>
      <c r="N874" s="2890"/>
      <c r="O874" s="2890"/>
      <c r="P874" s="2890"/>
      <c r="Q874" s="1739"/>
      <c r="R874" s="2202"/>
      <c r="S874" s="1739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</row>
    <row r="875" spans="8:41">
      <c r="H875" s="2891"/>
      <c r="I875" s="2891"/>
      <c r="J875" s="2891"/>
      <c r="K875" s="2891"/>
      <c r="L875" s="2890"/>
      <c r="M875" s="2890"/>
      <c r="N875" s="2890"/>
      <c r="O875" s="2890"/>
      <c r="P875" s="2890"/>
      <c r="Q875" s="1739"/>
      <c r="R875" s="2202"/>
      <c r="S875" s="1739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</row>
    <row r="876" spans="8:41" hidden="1">
      <c r="H876" s="2891"/>
      <c r="I876" s="2891"/>
      <c r="J876" s="2891"/>
      <c r="K876" s="2891"/>
      <c r="L876" s="2890"/>
      <c r="M876" s="2890"/>
      <c r="N876" s="2890"/>
      <c r="O876" s="2890"/>
      <c r="P876" s="2890"/>
      <c r="Q876" s="1739"/>
      <c r="R876" s="2202"/>
      <c r="S876" s="1739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</row>
    <row r="877" spans="8:41" hidden="1">
      <c r="H877" s="2891"/>
      <c r="I877" s="2891"/>
      <c r="J877" s="2891"/>
      <c r="K877" s="2891"/>
      <c r="L877" s="2890"/>
      <c r="M877" s="2890"/>
      <c r="N877" s="2890"/>
      <c r="O877" s="2890"/>
      <c r="P877" s="2890"/>
      <c r="Q877" s="1739"/>
      <c r="R877" s="2202"/>
      <c r="S877" s="1739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</row>
    <row r="878" spans="8:41" hidden="1">
      <c r="H878" s="2891"/>
      <c r="I878" s="2891"/>
      <c r="J878" s="2891"/>
      <c r="K878" s="2891"/>
      <c r="L878" s="2890"/>
      <c r="M878" s="2890"/>
      <c r="N878" s="2890"/>
      <c r="O878" s="2890"/>
      <c r="P878" s="2890"/>
      <c r="Q878" s="1739"/>
      <c r="R878" s="2202"/>
      <c r="S878" s="1739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</row>
    <row r="879" spans="8:41" hidden="1">
      <c r="H879" s="2891"/>
      <c r="I879" s="2891"/>
      <c r="J879" s="2891"/>
      <c r="K879" s="2891"/>
      <c r="L879" s="2890"/>
      <c r="M879" s="2890"/>
      <c r="N879" s="2890"/>
      <c r="O879" s="2890"/>
      <c r="P879" s="2890"/>
      <c r="Q879" s="1739"/>
      <c r="R879" s="2202"/>
      <c r="S879" s="1739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</row>
    <row r="880" spans="8:41" hidden="1">
      <c r="H880" s="2891"/>
      <c r="I880" s="2891"/>
      <c r="J880" s="2891"/>
      <c r="K880" s="2891"/>
      <c r="L880" s="2890"/>
      <c r="M880" s="2890"/>
      <c r="N880" s="2890"/>
      <c r="O880" s="2890"/>
      <c r="P880" s="2890"/>
      <c r="Q880" s="1739"/>
      <c r="R880" s="2202"/>
      <c r="S880" s="1739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</row>
    <row r="881" spans="8:34" hidden="1">
      <c r="H881" s="2892"/>
      <c r="I881" s="2892"/>
      <c r="J881" s="2892"/>
      <c r="K881" s="2892"/>
      <c r="L881" s="2893"/>
      <c r="M881" s="2893"/>
      <c r="N881" s="2893"/>
      <c r="O881" s="2893"/>
      <c r="P881" s="2893"/>
      <c r="Q881" s="1740"/>
      <c r="R881" s="2202"/>
      <c r="S881" s="1740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</row>
    <row r="882" spans="8:34" hidden="1">
      <c r="H882" s="2892"/>
      <c r="I882" s="2892"/>
      <c r="J882" s="2892"/>
      <c r="K882" s="2892"/>
      <c r="L882" s="2893"/>
      <c r="M882" s="2893"/>
      <c r="N882" s="2893"/>
      <c r="O882" s="2893"/>
      <c r="P882" s="2893"/>
      <c r="Q882" s="1740"/>
      <c r="R882" s="2202"/>
      <c r="S882" s="1740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</row>
    <row r="883" spans="8:34" hidden="1">
      <c r="H883" s="2892"/>
      <c r="I883" s="2892"/>
      <c r="J883" s="2892"/>
      <c r="K883" s="2892"/>
      <c r="L883" s="2893"/>
      <c r="M883" s="2893"/>
      <c r="N883" s="2893"/>
      <c r="O883" s="2893"/>
      <c r="P883" s="2893"/>
      <c r="Q883" s="1740"/>
      <c r="R883" s="2202"/>
      <c r="S883" s="1740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</row>
    <row r="884" spans="8:34" hidden="1">
      <c r="H884" s="3349"/>
      <c r="I884" s="3349"/>
      <c r="J884" s="3349"/>
      <c r="K884" s="3349"/>
      <c r="L884" s="3349"/>
      <c r="M884" s="3349"/>
      <c r="N884" s="3349"/>
      <c r="O884" s="3349"/>
      <c r="P884" s="3349"/>
      <c r="Q884" s="3349"/>
      <c r="R884" s="3349"/>
      <c r="S884" s="3349"/>
      <c r="T884" s="3349"/>
      <c r="U884" s="3349"/>
      <c r="V884" s="3349"/>
      <c r="W884" s="3349"/>
      <c r="X884" s="3349"/>
      <c r="Y884" s="582"/>
      <c r="Z884" s="582"/>
      <c r="AA884" s="582"/>
      <c r="AB884" s="582"/>
      <c r="AC884" s="582"/>
      <c r="AD884" s="32"/>
      <c r="AE884" s="32"/>
      <c r="AF884" s="32"/>
      <c r="AG884" s="32"/>
      <c r="AH884" s="32"/>
    </row>
    <row r="885" spans="8:34" hidden="1">
      <c r="H885" s="3350"/>
      <c r="I885" s="3350"/>
      <c r="J885" s="3350"/>
      <c r="K885" s="3350"/>
      <c r="L885" s="3350"/>
      <c r="M885" s="3350"/>
      <c r="N885" s="3350"/>
      <c r="O885" s="3350"/>
      <c r="P885" s="3350"/>
      <c r="Q885" s="3350"/>
      <c r="R885" s="3350"/>
      <c r="S885" s="3350"/>
      <c r="T885" s="3350"/>
      <c r="U885" s="3350"/>
      <c r="V885" s="3350"/>
      <c r="W885" s="3350"/>
      <c r="X885" s="3350"/>
      <c r="Y885" s="583"/>
      <c r="Z885" s="583"/>
      <c r="AA885" s="583"/>
      <c r="AB885" s="583"/>
      <c r="AC885" s="583"/>
      <c r="AD885" s="33"/>
      <c r="AE885" s="33"/>
      <c r="AF885" s="33"/>
      <c r="AG885" s="33"/>
      <c r="AH885" s="33"/>
    </row>
    <row r="886" spans="8:34" ht="20.25" hidden="1" thickBot="1">
      <c r="H886" s="3351"/>
      <c r="I886" s="3351"/>
      <c r="J886" s="3351"/>
      <c r="K886" s="3351"/>
      <c r="L886" s="3351"/>
      <c r="M886" s="3351"/>
      <c r="N886" s="3351"/>
      <c r="O886" s="3351"/>
      <c r="P886" s="3351"/>
      <c r="Q886" s="3351"/>
      <c r="R886" s="3351"/>
      <c r="S886" s="3351"/>
      <c r="T886" s="3351"/>
      <c r="U886" s="3351"/>
      <c r="V886" s="3351"/>
      <c r="W886" s="3351"/>
      <c r="X886" s="3351"/>
      <c r="Y886" s="584"/>
      <c r="Z886" s="584"/>
      <c r="AA886" s="584"/>
      <c r="AB886" s="584"/>
      <c r="AC886" s="584"/>
      <c r="AD886" s="34"/>
      <c r="AE886" s="34"/>
      <c r="AF886" s="34"/>
      <c r="AG886" s="34"/>
      <c r="AH886" s="34"/>
    </row>
    <row r="887" spans="8:34" ht="16.149999999999999" hidden="1" customHeight="1">
      <c r="H887" s="3347"/>
      <c r="I887" s="3347"/>
      <c r="J887" s="3347"/>
      <c r="K887" s="3347"/>
      <c r="L887" s="3347"/>
      <c r="M887" s="3347"/>
      <c r="N887" s="3347"/>
      <c r="O887" s="3347"/>
      <c r="P887" s="3347"/>
      <c r="Q887" s="3347"/>
      <c r="R887" s="3347"/>
      <c r="S887" s="3347"/>
      <c r="T887" s="3347"/>
      <c r="U887" s="3347"/>
      <c r="V887" s="3347"/>
      <c r="W887" s="3347"/>
      <c r="X887" s="3348"/>
      <c r="Y887" s="581"/>
      <c r="Z887" s="581"/>
      <c r="AA887" s="581"/>
      <c r="AB887" s="581"/>
      <c r="AC887" s="581"/>
      <c r="AD887" s="3346" t="s">
        <v>160</v>
      </c>
      <c r="AE887" s="3347"/>
      <c r="AF887" s="3347"/>
      <c r="AG887" s="3348"/>
      <c r="AH887" s="3344" t="s">
        <v>49</v>
      </c>
    </row>
    <row r="888" spans="8:34" ht="62.45" hidden="1" customHeight="1">
      <c r="H888" s="2894"/>
      <c r="I888" s="2894"/>
      <c r="J888" s="2894"/>
      <c r="K888" s="2894"/>
      <c r="L888" s="2895"/>
      <c r="M888" s="2895"/>
      <c r="N888" s="2895"/>
      <c r="O888" s="2895"/>
      <c r="P888" s="2896"/>
      <c r="Q888" s="1741"/>
      <c r="R888" s="2211"/>
      <c r="S888" s="1741"/>
      <c r="T888" s="1143"/>
      <c r="U888" s="964"/>
      <c r="V888" s="964"/>
      <c r="W888" s="964"/>
      <c r="X888" s="12" t="s">
        <v>53</v>
      </c>
      <c r="Y888" s="572"/>
      <c r="Z888" s="572"/>
      <c r="AA888" s="572"/>
      <c r="AB888" s="572"/>
      <c r="AC888" s="572"/>
      <c r="AD888" s="35" t="s">
        <v>50</v>
      </c>
      <c r="AE888" s="10" t="s">
        <v>162</v>
      </c>
      <c r="AF888" s="11" t="s">
        <v>52</v>
      </c>
      <c r="AG888" s="12" t="s">
        <v>53</v>
      </c>
      <c r="AH888" s="3345"/>
    </row>
    <row r="889" spans="8:34" ht="31.5" hidden="1">
      <c r="H889" s="2897"/>
      <c r="I889" s="2897"/>
      <c r="J889" s="2897"/>
      <c r="K889" s="2897"/>
      <c r="L889" s="2898"/>
      <c r="M889" s="2898"/>
      <c r="N889" s="2898"/>
      <c r="O889" s="2898"/>
      <c r="P889" s="2899"/>
      <c r="Q889" s="1742"/>
      <c r="R889" s="2212"/>
      <c r="S889" s="1742"/>
      <c r="T889" s="573"/>
      <c r="U889" s="15"/>
      <c r="V889" s="15"/>
      <c r="W889" s="15"/>
      <c r="X889" s="15" t="s">
        <v>163</v>
      </c>
      <c r="Y889" s="573"/>
      <c r="Z889" s="573"/>
      <c r="AA889" s="573"/>
      <c r="AB889" s="573"/>
      <c r="AC889" s="573"/>
      <c r="AD889" s="36">
        <v>6</v>
      </c>
      <c r="AE889" s="13">
        <v>7</v>
      </c>
      <c r="AF889" s="14">
        <v>8</v>
      </c>
      <c r="AG889" s="15" t="s">
        <v>164</v>
      </c>
      <c r="AH889" s="16">
        <v>10</v>
      </c>
    </row>
    <row r="890" spans="8:34" hidden="1">
      <c r="H890" s="2900"/>
      <c r="I890" s="2900"/>
      <c r="J890" s="2900"/>
      <c r="K890" s="2900"/>
      <c r="L890" s="2901"/>
      <c r="M890" s="2901"/>
      <c r="N890" s="2901"/>
      <c r="O890" s="2901"/>
      <c r="P890" s="2902"/>
      <c r="Q890" s="1286"/>
      <c r="R890" s="2213"/>
      <c r="S890" s="1286"/>
      <c r="T890" s="676"/>
      <c r="U890" s="39"/>
      <c r="V890" s="39"/>
      <c r="W890" s="39"/>
      <c r="X890" s="39" t="e">
        <f>SUM(X892,X928:X933,X927)</f>
        <v>#REF!</v>
      </c>
      <c r="Y890" s="676"/>
      <c r="Z890" s="676"/>
      <c r="AA890" s="676"/>
      <c r="AB890" s="676"/>
      <c r="AC890" s="676"/>
      <c r="AD890" s="40">
        <f>SUM(AD892,AD927:AD933)</f>
        <v>2049150</v>
      </c>
      <c r="AE890" s="37">
        <f>SUM(AE892,AE927:AE933)</f>
        <v>78000</v>
      </c>
      <c r="AF890" s="38">
        <f>SUM(AF892,AF927:AF933)</f>
        <v>0</v>
      </c>
      <c r="AG890" s="39">
        <f>SUM(AG892,AG928:AG933,AG927)</f>
        <v>2127150</v>
      </c>
      <c r="AH890" s="41" t="e">
        <f>AG890/X890*100</f>
        <v>#REF!</v>
      </c>
    </row>
    <row r="891" spans="8:34" hidden="1">
      <c r="H891" s="2900"/>
      <c r="I891" s="2900"/>
      <c r="J891" s="2900"/>
      <c r="K891" s="2900"/>
      <c r="L891" s="2901"/>
      <c r="M891" s="2901"/>
      <c r="N891" s="2901"/>
      <c r="O891" s="2901"/>
      <c r="P891" s="2902"/>
      <c r="Q891" s="1286"/>
      <c r="R891" s="2213"/>
      <c r="S891" s="1286"/>
      <c r="T891" s="676"/>
      <c r="U891" s="39"/>
      <c r="V891" s="39"/>
      <c r="W891" s="39"/>
      <c r="X891" s="39"/>
      <c r="Y891" s="676"/>
      <c r="Z891" s="676"/>
      <c r="AA891" s="676"/>
      <c r="AB891" s="676"/>
      <c r="AC891" s="676"/>
      <c r="AD891" s="40">
        <v>3</v>
      </c>
      <c r="AE891" s="37"/>
      <c r="AF891" s="38"/>
      <c r="AG891" s="39"/>
      <c r="AH891" s="41"/>
    </row>
    <row r="892" spans="8:34" hidden="1">
      <c r="H892" s="2903"/>
      <c r="I892" s="2903"/>
      <c r="J892" s="2903"/>
      <c r="K892" s="2903"/>
      <c r="L892" s="2904"/>
      <c r="M892" s="2904"/>
      <c r="N892" s="2904"/>
      <c r="O892" s="2904"/>
      <c r="P892" s="2905"/>
      <c r="Q892" s="1743"/>
      <c r="R892" s="2214"/>
      <c r="S892" s="1743"/>
      <c r="T892" s="1144"/>
      <c r="U892" s="705"/>
      <c r="V892" s="705"/>
      <c r="W892" s="705"/>
      <c r="X892" s="44" t="e">
        <f>X893+X903+X905+X925</f>
        <v>#REF!</v>
      </c>
      <c r="Y892" s="677"/>
      <c r="Z892" s="677"/>
      <c r="AA892" s="677"/>
      <c r="AB892" s="677"/>
      <c r="AC892" s="677"/>
      <c r="AD892" s="45">
        <f>SUM(AD893,AD903,AD905,AD925)</f>
        <v>1514150</v>
      </c>
      <c r="AE892" s="42">
        <f>SUM(AE893,AE903,AE905,AE925)</f>
        <v>78000</v>
      </c>
      <c r="AF892" s="43">
        <f>SUM(AF893,AF903,AF905,AF925)</f>
        <v>0</v>
      </c>
      <c r="AG892" s="44">
        <f>AG893+AG903+AG905+AG925</f>
        <v>1592150</v>
      </c>
      <c r="AH892" s="17" t="e">
        <f t="shared" ref="AH892:AH900" si="28">AG892/X892*100</f>
        <v>#REF!</v>
      </c>
    </row>
    <row r="893" spans="8:34" hidden="1">
      <c r="H893" s="2903"/>
      <c r="I893" s="2903"/>
      <c r="J893" s="2903"/>
      <c r="K893" s="2903"/>
      <c r="L893" s="2904"/>
      <c r="M893" s="2904"/>
      <c r="N893" s="2904"/>
      <c r="O893" s="2904"/>
      <c r="P893" s="2905"/>
      <c r="Q893" s="1743"/>
      <c r="R893" s="2214"/>
      <c r="S893" s="1743"/>
      <c r="T893" s="1144"/>
      <c r="U893" s="705"/>
      <c r="V893" s="705"/>
      <c r="W893" s="705"/>
      <c r="X893" s="44" t="e">
        <f t="shared" ref="X893:AG893" si="29">SUM(X894,X897)</f>
        <v>#REF!</v>
      </c>
      <c r="Y893" s="677"/>
      <c r="Z893" s="677"/>
      <c r="AA893" s="677"/>
      <c r="AB893" s="677"/>
      <c r="AC893" s="677"/>
      <c r="AD893" s="45">
        <f t="shared" si="29"/>
        <v>67950</v>
      </c>
      <c r="AE893" s="42">
        <f t="shared" si="29"/>
        <v>0</v>
      </c>
      <c r="AF893" s="43">
        <f t="shared" si="29"/>
        <v>0</v>
      </c>
      <c r="AG893" s="44">
        <f t="shared" si="29"/>
        <v>67950</v>
      </c>
      <c r="AH893" s="17" t="e">
        <f t="shared" si="28"/>
        <v>#REF!</v>
      </c>
    </row>
    <row r="894" spans="8:34" hidden="1">
      <c r="H894" s="2903"/>
      <c r="I894" s="2903"/>
      <c r="J894" s="2903"/>
      <c r="K894" s="2903"/>
      <c r="L894" s="2904"/>
      <c r="M894" s="2904"/>
      <c r="N894" s="2904"/>
      <c r="O894" s="2904"/>
      <c r="P894" s="2905"/>
      <c r="Q894" s="1743"/>
      <c r="R894" s="2214"/>
      <c r="S894" s="1743"/>
      <c r="T894" s="1144"/>
      <c r="U894" s="705"/>
      <c r="V894" s="705"/>
      <c r="W894" s="705"/>
      <c r="X894" s="44" t="e">
        <f t="shared" ref="X894:AG894" si="30">SUM(X895:X896)</f>
        <v>#REF!</v>
      </c>
      <c r="Y894" s="677"/>
      <c r="Z894" s="677"/>
      <c r="AA894" s="677"/>
      <c r="AB894" s="677"/>
      <c r="AC894" s="677"/>
      <c r="AD894" s="44">
        <f t="shared" si="30"/>
        <v>65000</v>
      </c>
      <c r="AE894" s="42">
        <f t="shared" si="30"/>
        <v>0</v>
      </c>
      <c r="AF894" s="43">
        <f t="shared" si="30"/>
        <v>0</v>
      </c>
      <c r="AG894" s="44">
        <f t="shared" si="30"/>
        <v>65000</v>
      </c>
      <c r="AH894" s="17" t="e">
        <f t="shared" si="28"/>
        <v>#REF!</v>
      </c>
    </row>
    <row r="895" spans="8:34" hidden="1">
      <c r="H895" s="2906"/>
      <c r="I895" s="2906"/>
      <c r="J895" s="2906"/>
      <c r="K895" s="2906"/>
      <c r="L895" s="2907"/>
      <c r="M895" s="2907"/>
      <c r="N895" s="2907"/>
      <c r="O895" s="2907"/>
      <c r="P895" s="2908"/>
      <c r="Q895" s="1744"/>
      <c r="R895" s="2215"/>
      <c r="S895" s="1744"/>
      <c r="T895" s="1145"/>
      <c r="U895" s="965"/>
      <c r="V895" s="965"/>
      <c r="W895" s="965"/>
      <c r="X895" s="48" t="e">
        <f>SUM(#REF!)</f>
        <v>#REF!</v>
      </c>
      <c r="Y895" s="678"/>
      <c r="Z895" s="678"/>
      <c r="AA895" s="678"/>
      <c r="AB895" s="678"/>
      <c r="AC895" s="678"/>
      <c r="AD895" s="49">
        <v>45000</v>
      </c>
      <c r="AE895" s="46"/>
      <c r="AF895" s="47"/>
      <c r="AG895" s="48">
        <f>SUM(AD895:AF895)</f>
        <v>45000</v>
      </c>
      <c r="AH895" s="17" t="e">
        <f t="shared" si="28"/>
        <v>#REF!</v>
      </c>
    </row>
    <row r="896" spans="8:34" hidden="1">
      <c r="H896" s="2906"/>
      <c r="I896" s="2906"/>
      <c r="J896" s="2906"/>
      <c r="K896" s="2906"/>
      <c r="L896" s="2907"/>
      <c r="M896" s="2907"/>
      <c r="N896" s="2907"/>
      <c r="O896" s="2907"/>
      <c r="P896" s="2908"/>
      <c r="Q896" s="1744"/>
      <c r="R896" s="2215"/>
      <c r="S896" s="1744"/>
      <c r="T896" s="1145"/>
      <c r="U896" s="965"/>
      <c r="V896" s="965"/>
      <c r="W896" s="965"/>
      <c r="X896" s="48" t="e">
        <f>SUM(#REF!)</f>
        <v>#REF!</v>
      </c>
      <c r="Y896" s="678"/>
      <c r="Z896" s="678"/>
      <c r="AA896" s="678"/>
      <c r="AB896" s="678"/>
      <c r="AC896" s="678"/>
      <c r="AD896" s="50">
        <v>20000</v>
      </c>
      <c r="AE896" s="46"/>
      <c r="AF896" s="47"/>
      <c r="AG896" s="48">
        <f>SUM(AD896:AF896)</f>
        <v>20000</v>
      </c>
      <c r="AH896" s="17" t="e">
        <f t="shared" si="28"/>
        <v>#REF!</v>
      </c>
    </row>
    <row r="897" spans="8:34" hidden="1">
      <c r="H897" s="2903"/>
      <c r="I897" s="2903"/>
      <c r="J897" s="2903"/>
      <c r="K897" s="2903"/>
      <c r="L897" s="2904"/>
      <c r="M897" s="2904"/>
      <c r="N897" s="2904"/>
      <c r="O897" s="2904"/>
      <c r="P897" s="2905"/>
      <c r="Q897" s="1743"/>
      <c r="R897" s="2214"/>
      <c r="S897" s="1743"/>
      <c r="T897" s="1144"/>
      <c r="U897" s="705"/>
      <c r="V897" s="705"/>
      <c r="W897" s="705"/>
      <c r="X897" s="44" t="e">
        <f t="shared" ref="X897:AG897" si="31">SUM(X898:X900)</f>
        <v>#REF!</v>
      </c>
      <c r="Y897" s="677"/>
      <c r="Z897" s="677"/>
      <c r="AA897" s="677"/>
      <c r="AB897" s="677"/>
      <c r="AC897" s="677"/>
      <c r="AD897" s="44">
        <f t="shared" si="31"/>
        <v>2950</v>
      </c>
      <c r="AE897" s="42">
        <f t="shared" si="31"/>
        <v>0</v>
      </c>
      <c r="AF897" s="43">
        <f t="shared" si="31"/>
        <v>0</v>
      </c>
      <c r="AG897" s="44">
        <f t="shared" si="31"/>
        <v>2950</v>
      </c>
      <c r="AH897" s="17" t="e">
        <f t="shared" si="28"/>
        <v>#REF!</v>
      </c>
    </row>
    <row r="898" spans="8:34" hidden="1">
      <c r="H898" s="2906"/>
      <c r="I898" s="2906"/>
      <c r="J898" s="2906"/>
      <c r="K898" s="2906"/>
      <c r="L898" s="2907"/>
      <c r="M898" s="2907"/>
      <c r="N898" s="2907"/>
      <c r="O898" s="2907"/>
      <c r="P898" s="2908"/>
      <c r="Q898" s="1744"/>
      <c r="R898" s="2215"/>
      <c r="S898" s="1744"/>
      <c r="T898" s="1145"/>
      <c r="U898" s="965"/>
      <c r="V898" s="965"/>
      <c r="W898" s="965"/>
      <c r="X898" s="48" t="e">
        <f>SUM(#REF!)</f>
        <v>#REF!</v>
      </c>
      <c r="Y898" s="678"/>
      <c r="Z898" s="678"/>
      <c r="AA898" s="678"/>
      <c r="AB898" s="678"/>
      <c r="AC898" s="678"/>
      <c r="AD898" s="50">
        <v>750</v>
      </c>
      <c r="AE898" s="46"/>
      <c r="AF898" s="47"/>
      <c r="AG898" s="48">
        <f>SUM(AD898:AF898)</f>
        <v>750</v>
      </c>
      <c r="AH898" s="17" t="e">
        <f t="shared" si="28"/>
        <v>#REF!</v>
      </c>
    </row>
    <row r="899" spans="8:34" hidden="1">
      <c r="H899" s="2906"/>
      <c r="I899" s="2906"/>
      <c r="J899" s="2906"/>
      <c r="K899" s="2906"/>
      <c r="L899" s="2907"/>
      <c r="M899" s="2907"/>
      <c r="N899" s="2907"/>
      <c r="O899" s="2907"/>
      <c r="P899" s="2908"/>
      <c r="Q899" s="1744"/>
      <c r="R899" s="2215"/>
      <c r="S899" s="1744"/>
      <c r="T899" s="1145"/>
      <c r="U899" s="965"/>
      <c r="V899" s="965"/>
      <c r="W899" s="965"/>
      <c r="X899" s="48" t="e">
        <f>SUM(#REF!)</f>
        <v>#REF!</v>
      </c>
      <c r="Y899" s="678"/>
      <c r="Z899" s="678"/>
      <c r="AA899" s="678"/>
      <c r="AB899" s="678"/>
      <c r="AC899" s="678"/>
      <c r="AD899" s="52">
        <v>2200</v>
      </c>
      <c r="AE899" s="46"/>
      <c r="AF899" s="47"/>
      <c r="AG899" s="48">
        <f>SUM(AD899:AF899)</f>
        <v>2200</v>
      </c>
      <c r="AH899" s="17" t="e">
        <f t="shared" si="28"/>
        <v>#REF!</v>
      </c>
    </row>
    <row r="900" spans="8:34" hidden="1">
      <c r="H900" s="2906"/>
      <c r="I900" s="2906"/>
      <c r="J900" s="2906"/>
      <c r="K900" s="2906"/>
      <c r="L900" s="2907"/>
      <c r="M900" s="2907"/>
      <c r="N900" s="2907"/>
      <c r="O900" s="2907"/>
      <c r="P900" s="2908"/>
      <c r="Q900" s="1744"/>
      <c r="R900" s="2215"/>
      <c r="S900" s="1744"/>
      <c r="T900" s="1145"/>
      <c r="U900" s="965"/>
      <c r="V900" s="965"/>
      <c r="W900" s="965"/>
      <c r="X900" s="48"/>
      <c r="Y900" s="678"/>
      <c r="Z900" s="678"/>
      <c r="AA900" s="678"/>
      <c r="AB900" s="678"/>
      <c r="AC900" s="678"/>
      <c r="AD900" s="52"/>
      <c r="AE900" s="46"/>
      <c r="AF900" s="47"/>
      <c r="AG900" s="48"/>
      <c r="AH900" s="17" t="e">
        <f t="shared" si="28"/>
        <v>#DIV/0!</v>
      </c>
    </row>
    <row r="901" spans="8:34" hidden="1">
      <c r="H901" s="2906"/>
      <c r="I901" s="2906"/>
      <c r="J901" s="2906"/>
      <c r="K901" s="2906"/>
      <c r="L901" s="2907"/>
      <c r="M901" s="2907"/>
      <c r="N901" s="2907"/>
      <c r="O901" s="2907"/>
      <c r="P901" s="2908"/>
      <c r="Q901" s="1744"/>
      <c r="R901" s="2215"/>
      <c r="S901" s="1744"/>
      <c r="T901" s="1145"/>
      <c r="U901" s="965"/>
      <c r="V901" s="965"/>
      <c r="W901" s="965"/>
      <c r="X901" s="48"/>
      <c r="Y901" s="678"/>
      <c r="Z901" s="678"/>
      <c r="AA901" s="678"/>
      <c r="AB901" s="678"/>
      <c r="AC901" s="678"/>
      <c r="AD901" s="53">
        <v>500</v>
      </c>
      <c r="AE901" s="46"/>
      <c r="AF901" s="47"/>
      <c r="AG901" s="48"/>
      <c r="AH901" s="17"/>
    </row>
    <row r="902" spans="8:34" hidden="1">
      <c r="H902" s="2906"/>
      <c r="I902" s="2906"/>
      <c r="J902" s="2906"/>
      <c r="K902" s="2906"/>
      <c r="L902" s="2907"/>
      <c r="M902" s="2907"/>
      <c r="N902" s="2907"/>
      <c r="O902" s="2907"/>
      <c r="P902" s="2908"/>
      <c r="Q902" s="1744"/>
      <c r="R902" s="2215"/>
      <c r="S902" s="1744"/>
      <c r="T902" s="1145"/>
      <c r="U902" s="965"/>
      <c r="V902" s="965"/>
      <c r="W902" s="965"/>
      <c r="X902" s="48"/>
      <c r="Y902" s="678"/>
      <c r="Z902" s="678"/>
      <c r="AA902" s="678"/>
      <c r="AB902" s="678"/>
      <c r="AC902" s="678"/>
      <c r="AD902" s="53"/>
      <c r="AE902" s="46"/>
      <c r="AF902" s="47"/>
      <c r="AG902" s="48"/>
      <c r="AH902" s="17"/>
    </row>
    <row r="903" spans="8:34" hidden="1">
      <c r="H903" s="2909"/>
      <c r="I903" s="2909"/>
      <c r="J903" s="2909"/>
      <c r="K903" s="2909"/>
      <c r="L903" s="2910"/>
      <c r="M903" s="2910"/>
      <c r="N903" s="2910"/>
      <c r="O903" s="2910"/>
      <c r="P903" s="2911"/>
      <c r="Q903" s="1260"/>
      <c r="R903" s="2216"/>
      <c r="S903" s="1260"/>
      <c r="T903" s="446"/>
      <c r="U903" s="70"/>
      <c r="V903" s="70"/>
      <c r="W903" s="70"/>
      <c r="X903" s="44" t="e">
        <f t="shared" ref="X903:AG903" si="32">SUM(X904)</f>
        <v>#REF!</v>
      </c>
      <c r="Y903" s="677"/>
      <c r="Z903" s="677"/>
      <c r="AA903" s="677"/>
      <c r="AB903" s="677"/>
      <c r="AC903" s="677"/>
      <c r="AD903" s="44">
        <f t="shared" si="32"/>
        <v>10000</v>
      </c>
      <c r="AE903" s="55">
        <f t="shared" si="32"/>
        <v>0</v>
      </c>
      <c r="AF903" s="56">
        <f t="shared" si="32"/>
        <v>0</v>
      </c>
      <c r="AG903" s="44">
        <f t="shared" si="32"/>
        <v>10000</v>
      </c>
      <c r="AH903" s="17" t="e">
        <f t="shared" ref="AH903:AH916" si="33">AG903/X903*100</f>
        <v>#REF!</v>
      </c>
    </row>
    <row r="904" spans="8:34" hidden="1">
      <c r="H904" s="2906"/>
      <c r="I904" s="2906"/>
      <c r="J904" s="2906"/>
      <c r="K904" s="2906"/>
      <c r="L904" s="2907"/>
      <c r="M904" s="2907"/>
      <c r="N904" s="2907"/>
      <c r="O904" s="2907"/>
      <c r="P904" s="2908"/>
      <c r="Q904" s="1744"/>
      <c r="R904" s="2215"/>
      <c r="S904" s="1744"/>
      <c r="T904" s="1145"/>
      <c r="U904" s="965"/>
      <c r="V904" s="965"/>
      <c r="W904" s="965"/>
      <c r="X904" s="48" t="e">
        <f>SUM(#REF!)</f>
        <v>#REF!</v>
      </c>
      <c r="Y904" s="678"/>
      <c r="Z904" s="678"/>
      <c r="AA904" s="678"/>
      <c r="AB904" s="678"/>
      <c r="AC904" s="678"/>
      <c r="AD904" s="52">
        <v>10000</v>
      </c>
      <c r="AE904" s="46"/>
      <c r="AF904" s="47"/>
      <c r="AG904" s="48">
        <f>SUM(AD904:AF904)</f>
        <v>10000</v>
      </c>
      <c r="AH904" s="17" t="e">
        <f t="shared" si="33"/>
        <v>#REF!</v>
      </c>
    </row>
    <row r="905" spans="8:34" hidden="1">
      <c r="H905" s="2909"/>
      <c r="I905" s="2909"/>
      <c r="J905" s="2909"/>
      <c r="K905" s="2909"/>
      <c r="L905" s="2910"/>
      <c r="M905" s="2910"/>
      <c r="N905" s="2910"/>
      <c r="O905" s="2910"/>
      <c r="P905" s="2911"/>
      <c r="Q905" s="1260"/>
      <c r="R905" s="2216"/>
      <c r="S905" s="1260"/>
      <c r="T905" s="446"/>
      <c r="U905" s="70"/>
      <c r="V905" s="70"/>
      <c r="W905" s="70"/>
      <c r="X905" s="44" t="e">
        <f t="shared" ref="X905:AG905" si="34">SUM(X906:X912)</f>
        <v>#REF!</v>
      </c>
      <c r="Y905" s="677"/>
      <c r="Z905" s="677"/>
      <c r="AA905" s="677"/>
      <c r="AB905" s="677"/>
      <c r="AC905" s="677"/>
      <c r="AD905" s="44">
        <f>SUM(AD906:AD912)</f>
        <v>1431200</v>
      </c>
      <c r="AE905" s="55">
        <f t="shared" si="34"/>
        <v>78000</v>
      </c>
      <c r="AF905" s="56">
        <f t="shared" si="34"/>
        <v>0</v>
      </c>
      <c r="AG905" s="44">
        <f t="shared" si="34"/>
        <v>1509200</v>
      </c>
      <c r="AH905" s="17" t="e">
        <f t="shared" si="33"/>
        <v>#REF!</v>
      </c>
    </row>
    <row r="906" spans="8:34" hidden="1">
      <c r="H906" s="2912"/>
      <c r="I906" s="2912"/>
      <c r="J906" s="2912"/>
      <c r="K906" s="2912"/>
      <c r="L906" s="2913"/>
      <c r="M906" s="2913"/>
      <c r="N906" s="2913"/>
      <c r="O906" s="2913"/>
      <c r="P906" s="2914"/>
      <c r="Q906" s="1745"/>
      <c r="R906" s="2217"/>
      <c r="S906" s="1745"/>
      <c r="T906" s="1146"/>
      <c r="U906" s="966"/>
      <c r="V906" s="966"/>
      <c r="W906" s="966"/>
      <c r="X906" s="48" t="e">
        <f>SUM(#REF!)</f>
        <v>#REF!</v>
      </c>
      <c r="Y906" s="678"/>
      <c r="Z906" s="678"/>
      <c r="AA906" s="678"/>
      <c r="AB906" s="678"/>
      <c r="AC906" s="678"/>
      <c r="AD906" s="58">
        <v>5000</v>
      </c>
      <c r="AE906" s="3"/>
      <c r="AF906" s="24"/>
      <c r="AG906" s="48">
        <f t="shared" ref="AG906:AG911" si="35">SUM(AD906:AF906)</f>
        <v>5000</v>
      </c>
      <c r="AH906" s="17" t="e">
        <f t="shared" si="33"/>
        <v>#REF!</v>
      </c>
    </row>
    <row r="907" spans="8:34" hidden="1">
      <c r="H907" s="2912"/>
      <c r="I907" s="2912"/>
      <c r="J907" s="2912"/>
      <c r="K907" s="2912"/>
      <c r="L907" s="2913"/>
      <c r="M907" s="2913"/>
      <c r="N907" s="2913"/>
      <c r="O907" s="2913"/>
      <c r="P907" s="2914"/>
      <c r="Q907" s="1745"/>
      <c r="R907" s="2217"/>
      <c r="S907" s="1745"/>
      <c r="T907" s="1146"/>
      <c r="U907" s="966"/>
      <c r="V907" s="966"/>
      <c r="W907" s="966"/>
      <c r="X907" s="48" t="e">
        <f>SUM(#REF!)</f>
        <v>#REF!</v>
      </c>
      <c r="Y907" s="678"/>
      <c r="Z907" s="678"/>
      <c r="AA907" s="678"/>
      <c r="AB907" s="678"/>
      <c r="AC907" s="678"/>
      <c r="AD907" s="58">
        <v>3000</v>
      </c>
      <c r="AE907" s="3"/>
      <c r="AF907" s="24"/>
      <c r="AG907" s="48">
        <f t="shared" si="35"/>
        <v>3000</v>
      </c>
      <c r="AH907" s="17" t="e">
        <f t="shared" si="33"/>
        <v>#REF!</v>
      </c>
    </row>
    <row r="908" spans="8:34" hidden="1">
      <c r="H908" s="2912"/>
      <c r="I908" s="2912"/>
      <c r="J908" s="2912"/>
      <c r="K908" s="2912"/>
      <c r="L908" s="2913"/>
      <c r="M908" s="2913"/>
      <c r="N908" s="2913"/>
      <c r="O908" s="2913"/>
      <c r="P908" s="2914"/>
      <c r="Q908" s="1745"/>
      <c r="R908" s="2217"/>
      <c r="S908" s="1745"/>
      <c r="T908" s="1146"/>
      <c r="U908" s="966"/>
      <c r="V908" s="966"/>
      <c r="W908" s="966"/>
      <c r="X908" s="48" t="e">
        <f>SUM(#REF!)</f>
        <v>#REF!</v>
      </c>
      <c r="Y908" s="678"/>
      <c r="Z908" s="678"/>
      <c r="AA908" s="678"/>
      <c r="AB908" s="678"/>
      <c r="AC908" s="678"/>
      <c r="AD908" s="58">
        <v>3000</v>
      </c>
      <c r="AE908" s="3"/>
      <c r="AF908" s="24"/>
      <c r="AG908" s="48">
        <f t="shared" si="35"/>
        <v>3000</v>
      </c>
      <c r="AH908" s="17" t="e">
        <f t="shared" si="33"/>
        <v>#REF!</v>
      </c>
    </row>
    <row r="909" spans="8:34" hidden="1">
      <c r="H909" s="2912"/>
      <c r="I909" s="2912"/>
      <c r="J909" s="2912"/>
      <c r="K909" s="2912"/>
      <c r="L909" s="2913"/>
      <c r="M909" s="2913"/>
      <c r="N909" s="2913"/>
      <c r="O909" s="2913"/>
      <c r="P909" s="2914"/>
      <c r="Q909" s="1745"/>
      <c r="R909" s="2217"/>
      <c r="S909" s="1745"/>
      <c r="T909" s="1146"/>
      <c r="U909" s="966"/>
      <c r="V909" s="966"/>
      <c r="W909" s="966"/>
      <c r="X909" s="48" t="e">
        <f>SUM(#REF!)</f>
        <v>#REF!</v>
      </c>
      <c r="Y909" s="678"/>
      <c r="Z909" s="678"/>
      <c r="AA909" s="678"/>
      <c r="AB909" s="678"/>
      <c r="AC909" s="678"/>
      <c r="AD909" s="58">
        <v>5000</v>
      </c>
      <c r="AE909" s="3"/>
      <c r="AF909" s="24"/>
      <c r="AG909" s="48">
        <f t="shared" si="35"/>
        <v>5000</v>
      </c>
      <c r="AH909" s="17" t="e">
        <f t="shared" si="33"/>
        <v>#REF!</v>
      </c>
    </row>
    <row r="910" spans="8:34" hidden="1">
      <c r="H910" s="2912"/>
      <c r="I910" s="2912"/>
      <c r="J910" s="2912"/>
      <c r="K910" s="2912"/>
      <c r="L910" s="2913"/>
      <c r="M910" s="2913"/>
      <c r="N910" s="2913"/>
      <c r="O910" s="2913"/>
      <c r="P910" s="2914"/>
      <c r="Q910" s="1745"/>
      <c r="R910" s="2217"/>
      <c r="S910" s="1745"/>
      <c r="T910" s="1146"/>
      <c r="U910" s="966"/>
      <c r="V910" s="966"/>
      <c r="W910" s="966"/>
      <c r="X910" s="48" t="e">
        <f>SUM(#REF!)</f>
        <v>#REF!</v>
      </c>
      <c r="Y910" s="678"/>
      <c r="Z910" s="678"/>
      <c r="AA910" s="678"/>
      <c r="AB910" s="678"/>
      <c r="AC910" s="678"/>
      <c r="AD910" s="58">
        <v>5000</v>
      </c>
      <c r="AE910" s="3"/>
      <c r="AF910" s="24"/>
      <c r="AG910" s="48">
        <f t="shared" si="35"/>
        <v>5000</v>
      </c>
      <c r="AH910" s="17" t="e">
        <f t="shared" si="33"/>
        <v>#REF!</v>
      </c>
    </row>
    <row r="911" spans="8:34" hidden="1">
      <c r="H911" s="2912"/>
      <c r="I911" s="2912"/>
      <c r="J911" s="2912"/>
      <c r="K911" s="2912"/>
      <c r="L911" s="2913"/>
      <c r="M911" s="2913"/>
      <c r="N911" s="2913"/>
      <c r="O911" s="2913"/>
      <c r="P911" s="2914"/>
      <c r="Q911" s="1745"/>
      <c r="R911" s="2217"/>
      <c r="S911" s="1745"/>
      <c r="T911" s="1146"/>
      <c r="U911" s="966"/>
      <c r="V911" s="966"/>
      <c r="W911" s="966"/>
      <c r="X911" s="48" t="e">
        <f>SUM(#REF!)</f>
        <v>#REF!</v>
      </c>
      <c r="Y911" s="678"/>
      <c r="Z911" s="678"/>
      <c r="AA911" s="678"/>
      <c r="AB911" s="678"/>
      <c r="AC911" s="678"/>
      <c r="AD911" s="58">
        <v>3000</v>
      </c>
      <c r="AE911" s="3"/>
      <c r="AF911" s="24"/>
      <c r="AG911" s="48">
        <f t="shared" si="35"/>
        <v>3000</v>
      </c>
      <c r="AH911" s="17" t="e">
        <f t="shared" si="33"/>
        <v>#REF!</v>
      </c>
    </row>
    <row r="912" spans="8:34" hidden="1">
      <c r="H912" s="2909"/>
      <c r="I912" s="2909"/>
      <c r="J912" s="2909"/>
      <c r="K912" s="2909"/>
      <c r="L912" s="2910"/>
      <c r="M912" s="2910"/>
      <c r="N912" s="2910"/>
      <c r="O912" s="2910"/>
      <c r="P912" s="2911"/>
      <c r="Q912" s="1260"/>
      <c r="R912" s="2216"/>
      <c r="S912" s="1260"/>
      <c r="T912" s="446"/>
      <c r="U912" s="70"/>
      <c r="V912" s="70"/>
      <c r="W912" s="70"/>
      <c r="X912" s="44" t="e">
        <f>SUM(X913:X924)</f>
        <v>#REF!</v>
      </c>
      <c r="Y912" s="677"/>
      <c r="Z912" s="677"/>
      <c r="AA912" s="677"/>
      <c r="AB912" s="677"/>
      <c r="AC912" s="677"/>
      <c r="AD912" s="59">
        <f>SUM(AD913:AD924)</f>
        <v>1407200</v>
      </c>
      <c r="AE912" s="59">
        <f t="shared" ref="AE912:AF912" si="36">SUM(AE913:AE924)</f>
        <v>78000</v>
      </c>
      <c r="AF912" s="59">
        <f t="shared" si="36"/>
        <v>0</v>
      </c>
      <c r="AG912" s="44">
        <f>SUM(AG913:AG924)</f>
        <v>1485200</v>
      </c>
      <c r="AH912" s="17" t="e">
        <f t="shared" si="33"/>
        <v>#REF!</v>
      </c>
    </row>
    <row r="913" spans="8:34" hidden="1">
      <c r="H913" s="2912"/>
      <c r="I913" s="2912"/>
      <c r="J913" s="2912"/>
      <c r="K913" s="2912"/>
      <c r="L913" s="2913"/>
      <c r="M913" s="2913"/>
      <c r="N913" s="2913"/>
      <c r="O913" s="2913"/>
      <c r="P913" s="2914"/>
      <c r="Q913" s="1745"/>
      <c r="R913" s="2217"/>
      <c r="S913" s="1745"/>
      <c r="T913" s="1146"/>
      <c r="U913" s="966"/>
      <c r="V913" s="966"/>
      <c r="W913" s="966"/>
      <c r="X913" s="48" t="e">
        <f>SUM(#REF!)</f>
        <v>#REF!</v>
      </c>
      <c r="Y913" s="678"/>
      <c r="Z913" s="678"/>
      <c r="AA913" s="678"/>
      <c r="AB913" s="678"/>
      <c r="AC913" s="678"/>
      <c r="AD913" s="52">
        <v>3000</v>
      </c>
      <c r="AE913" s="3"/>
      <c r="AF913" s="24"/>
      <c r="AG913" s="48">
        <f>SUM(AD913:AF913)</f>
        <v>3000</v>
      </c>
      <c r="AH913" s="17" t="e">
        <f t="shared" si="33"/>
        <v>#REF!</v>
      </c>
    </row>
    <row r="914" spans="8:34" hidden="1">
      <c r="H914" s="2912"/>
      <c r="I914" s="2912"/>
      <c r="J914" s="2912"/>
      <c r="K914" s="2912"/>
      <c r="L914" s="2913"/>
      <c r="M914" s="2913"/>
      <c r="N914" s="2913"/>
      <c r="O914" s="2913"/>
      <c r="P914" s="2914"/>
      <c r="Q914" s="1745"/>
      <c r="R914" s="2217"/>
      <c r="S914" s="1745"/>
      <c r="T914" s="1146"/>
      <c r="U914" s="966"/>
      <c r="V914" s="966"/>
      <c r="W914" s="966"/>
      <c r="X914" s="48" t="e">
        <f>SUM(#REF!)</f>
        <v>#REF!</v>
      </c>
      <c r="Y914" s="678"/>
      <c r="Z914" s="678"/>
      <c r="AA914" s="678"/>
      <c r="AB914" s="678"/>
      <c r="AC914" s="678"/>
      <c r="AD914" s="52">
        <v>5000</v>
      </c>
      <c r="AE914" s="3"/>
      <c r="AF914" s="24"/>
      <c r="AG914" s="48">
        <f>SUM(AD914:AF914)</f>
        <v>5000</v>
      </c>
      <c r="AH914" s="17" t="e">
        <f t="shared" si="33"/>
        <v>#REF!</v>
      </c>
    </row>
    <row r="915" spans="8:34" hidden="1">
      <c r="H915" s="2912"/>
      <c r="I915" s="2912"/>
      <c r="J915" s="2912"/>
      <c r="K915" s="2912"/>
      <c r="L915" s="2913"/>
      <c r="M915" s="2913"/>
      <c r="N915" s="2913"/>
      <c r="O915" s="2913"/>
      <c r="P915" s="2914"/>
      <c r="Q915" s="1745"/>
      <c r="R915" s="2217"/>
      <c r="S915" s="1745"/>
      <c r="T915" s="1146"/>
      <c r="U915" s="966"/>
      <c r="V915" s="966"/>
      <c r="W915" s="966"/>
      <c r="X915" s="48"/>
      <c r="Y915" s="678"/>
      <c r="Z915" s="678"/>
      <c r="AA915" s="678"/>
      <c r="AB915" s="678"/>
      <c r="AC915" s="678"/>
      <c r="AD915" s="52"/>
      <c r="AE915" s="3"/>
      <c r="AF915" s="24"/>
      <c r="AG915" s="48"/>
      <c r="AH915" s="17" t="e">
        <f t="shared" si="33"/>
        <v>#DIV/0!</v>
      </c>
    </row>
    <row r="916" spans="8:34" hidden="1">
      <c r="H916" s="2912"/>
      <c r="I916" s="2912"/>
      <c r="J916" s="2912"/>
      <c r="K916" s="2912"/>
      <c r="L916" s="2913"/>
      <c r="M916" s="2913"/>
      <c r="N916" s="2913"/>
      <c r="O916" s="2913"/>
      <c r="P916" s="2914"/>
      <c r="Q916" s="1745"/>
      <c r="R916" s="2217"/>
      <c r="S916" s="1745"/>
      <c r="T916" s="1146"/>
      <c r="U916" s="966"/>
      <c r="V916" s="966"/>
      <c r="W916" s="966"/>
      <c r="X916" s="48" t="e">
        <f>SUM(#REF!)</f>
        <v>#REF!</v>
      </c>
      <c r="Y916" s="678"/>
      <c r="Z916" s="678"/>
      <c r="AA916" s="678"/>
      <c r="AB916" s="678"/>
      <c r="AC916" s="678"/>
      <c r="AD916" s="52">
        <v>1000</v>
      </c>
      <c r="AE916" s="3"/>
      <c r="AF916" s="24"/>
      <c r="AG916" s="48">
        <f>SUM(AD916:AF916)</f>
        <v>1000</v>
      </c>
      <c r="AH916" s="17" t="e">
        <f t="shared" si="33"/>
        <v>#REF!</v>
      </c>
    </row>
    <row r="917" spans="8:34" hidden="1">
      <c r="H917" s="2912"/>
      <c r="I917" s="2912"/>
      <c r="J917" s="2912"/>
      <c r="K917" s="2912"/>
      <c r="L917" s="2913"/>
      <c r="M917" s="2913"/>
      <c r="N917" s="2913"/>
      <c r="O917" s="2913"/>
      <c r="P917" s="2914"/>
      <c r="Q917" s="1745"/>
      <c r="R917" s="2217"/>
      <c r="S917" s="1745"/>
      <c r="T917" s="1146"/>
      <c r="U917" s="966"/>
      <c r="V917" s="966"/>
      <c r="W917" s="966"/>
      <c r="X917" s="48"/>
      <c r="Y917" s="678"/>
      <c r="Z917" s="678"/>
      <c r="AA917" s="678"/>
      <c r="AB917" s="678"/>
      <c r="AC917" s="678"/>
      <c r="AD917" s="49">
        <v>590000</v>
      </c>
      <c r="AE917" s="3"/>
      <c r="AF917" s="24"/>
      <c r="AG917" s="48">
        <f>SUM(AD917:AF917)</f>
        <v>590000</v>
      </c>
      <c r="AH917" s="17"/>
    </row>
    <row r="918" spans="8:34" hidden="1">
      <c r="H918" s="2912"/>
      <c r="I918" s="2912"/>
      <c r="J918" s="2912"/>
      <c r="K918" s="2912"/>
      <c r="L918" s="2913"/>
      <c r="M918" s="2913"/>
      <c r="N918" s="2913"/>
      <c r="O918" s="2913"/>
      <c r="P918" s="2914"/>
      <c r="Q918" s="1745"/>
      <c r="R918" s="2217"/>
      <c r="S918" s="1745"/>
      <c r="T918" s="1146"/>
      <c r="U918" s="966"/>
      <c r="V918" s="966"/>
      <c r="W918" s="966"/>
      <c r="X918" s="48" t="e">
        <f>SUM(#REF!)</f>
        <v>#REF!</v>
      </c>
      <c r="Y918" s="678"/>
      <c r="Z918" s="678"/>
      <c r="AA918" s="678"/>
      <c r="AB918" s="678"/>
      <c r="AC918" s="678"/>
      <c r="AD918" s="61">
        <v>563200</v>
      </c>
      <c r="AE918" s="3"/>
      <c r="AF918" s="24"/>
      <c r="AG918" s="48">
        <f>SUM(AD918:AF918)</f>
        <v>563200</v>
      </c>
      <c r="AH918" s="17" t="e">
        <f>AG918/X918*100</f>
        <v>#REF!</v>
      </c>
    </row>
    <row r="919" spans="8:34" hidden="1">
      <c r="H919" s="2912"/>
      <c r="I919" s="2912"/>
      <c r="J919" s="2912"/>
      <c r="K919" s="2912"/>
      <c r="L919" s="2913"/>
      <c r="M919" s="2913"/>
      <c r="N919" s="2913"/>
      <c r="O919" s="2913"/>
      <c r="P919" s="2914"/>
      <c r="Q919" s="1745"/>
      <c r="R919" s="2217"/>
      <c r="S919" s="1745"/>
      <c r="T919" s="1146"/>
      <c r="U919" s="966"/>
      <c r="V919" s="966"/>
      <c r="W919" s="966"/>
      <c r="X919" s="48" t="e">
        <f>SUM(#REF!)</f>
        <v>#REF!</v>
      </c>
      <c r="Y919" s="678"/>
      <c r="Z919" s="678"/>
      <c r="AA919" s="678"/>
      <c r="AB919" s="678"/>
      <c r="AC919" s="678"/>
      <c r="AD919" s="61">
        <v>200000</v>
      </c>
      <c r="AE919" s="3"/>
      <c r="AF919" s="24"/>
      <c r="AG919" s="48">
        <f>SUM(AD919:AF919)</f>
        <v>200000</v>
      </c>
      <c r="AH919" s="17" t="e">
        <f>AG919/X919*100</f>
        <v>#REF!</v>
      </c>
    </row>
    <row r="920" spans="8:34" hidden="1">
      <c r="H920" s="2912"/>
      <c r="I920" s="2912"/>
      <c r="J920" s="2912"/>
      <c r="K920" s="2912"/>
      <c r="L920" s="2913"/>
      <c r="M920" s="2913"/>
      <c r="N920" s="2913"/>
      <c r="O920" s="2913"/>
      <c r="P920" s="2914"/>
      <c r="Q920" s="1745"/>
      <c r="R920" s="2217"/>
      <c r="S920" s="1745"/>
      <c r="T920" s="1146"/>
      <c r="U920" s="966"/>
      <c r="V920" s="966"/>
      <c r="W920" s="966"/>
      <c r="X920" s="48"/>
      <c r="Y920" s="678"/>
      <c r="Z920" s="678"/>
      <c r="AA920" s="678"/>
      <c r="AB920" s="678"/>
      <c r="AC920" s="678"/>
      <c r="AD920" s="60">
        <v>25000</v>
      </c>
      <c r="AE920" s="3"/>
      <c r="AF920" s="24"/>
      <c r="AG920" s="48">
        <f t="shared" ref="AG920:AG924" si="37">SUM(AD920:AF920)</f>
        <v>25000</v>
      </c>
      <c r="AH920" s="17"/>
    </row>
    <row r="921" spans="8:34" hidden="1">
      <c r="H921" s="2912"/>
      <c r="I921" s="2912"/>
      <c r="J921" s="2912"/>
      <c r="K921" s="2912"/>
      <c r="L921" s="2913"/>
      <c r="M921" s="2913"/>
      <c r="N921" s="2913"/>
      <c r="O921" s="2913"/>
      <c r="P921" s="2914"/>
      <c r="Q921" s="1745"/>
      <c r="R921" s="2217"/>
      <c r="S921" s="1745"/>
      <c r="T921" s="1146"/>
      <c r="U921" s="966"/>
      <c r="V921" s="966"/>
      <c r="W921" s="966"/>
      <c r="X921" s="48"/>
      <c r="Y921" s="678"/>
      <c r="Z921" s="678"/>
      <c r="AA921" s="678"/>
      <c r="AB921" s="678"/>
      <c r="AC921" s="678"/>
      <c r="AD921" s="52"/>
      <c r="AE921" s="3"/>
      <c r="AF921" s="24"/>
      <c r="AG921" s="48"/>
      <c r="AH921" s="17"/>
    </row>
    <row r="922" spans="8:34" hidden="1">
      <c r="H922" s="2912"/>
      <c r="I922" s="2912"/>
      <c r="J922" s="2912"/>
      <c r="K922" s="2912"/>
      <c r="L922" s="2913"/>
      <c r="M922" s="2913"/>
      <c r="N922" s="2913"/>
      <c r="O922" s="2913"/>
      <c r="P922" s="2914"/>
      <c r="Q922" s="1745"/>
      <c r="R922" s="2217"/>
      <c r="S922" s="1745"/>
      <c r="T922" s="1146"/>
      <c r="U922" s="966"/>
      <c r="V922" s="966"/>
      <c r="W922" s="966"/>
      <c r="X922" s="48"/>
      <c r="Y922" s="678"/>
      <c r="Z922" s="678"/>
      <c r="AA922" s="678"/>
      <c r="AB922" s="678"/>
      <c r="AC922" s="678"/>
      <c r="AD922" s="52"/>
      <c r="AE922" s="3">
        <v>78000</v>
      </c>
      <c r="AF922" s="24"/>
      <c r="AG922" s="48">
        <f t="shared" si="37"/>
        <v>78000</v>
      </c>
      <c r="AH922" s="17"/>
    </row>
    <row r="923" spans="8:34" hidden="1">
      <c r="H923" s="2912"/>
      <c r="I923" s="2912"/>
      <c r="J923" s="2912"/>
      <c r="K923" s="2912"/>
      <c r="L923" s="2913"/>
      <c r="M923" s="2913"/>
      <c r="N923" s="2913"/>
      <c r="O923" s="2913"/>
      <c r="P923" s="2914"/>
      <c r="Q923" s="1745"/>
      <c r="R923" s="2217"/>
      <c r="S923" s="1745"/>
      <c r="T923" s="1146"/>
      <c r="U923" s="966"/>
      <c r="V923" s="966"/>
      <c r="W923" s="966"/>
      <c r="X923" s="48" t="e">
        <f>SUM(#REF!)</f>
        <v>#REF!</v>
      </c>
      <c r="Y923" s="678"/>
      <c r="Z923" s="678"/>
      <c r="AA923" s="678"/>
      <c r="AB923" s="678"/>
      <c r="AC923" s="678"/>
      <c r="AD923" s="52">
        <v>10000</v>
      </c>
      <c r="AE923" s="3"/>
      <c r="AF923" s="24"/>
      <c r="AG923" s="48">
        <f t="shared" si="37"/>
        <v>10000</v>
      </c>
      <c r="AH923" s="17" t="e">
        <f t="shared" ref="AH923:AH929" si="38">AG923/X923*100</f>
        <v>#REF!</v>
      </c>
    </row>
    <row r="924" spans="8:34" hidden="1">
      <c r="H924" s="2912"/>
      <c r="I924" s="2912"/>
      <c r="J924" s="2912"/>
      <c r="K924" s="2912"/>
      <c r="L924" s="2913"/>
      <c r="M924" s="2913"/>
      <c r="N924" s="2913"/>
      <c r="O924" s="2913"/>
      <c r="P924" s="2914"/>
      <c r="Q924" s="1745"/>
      <c r="R924" s="2217"/>
      <c r="S924" s="1745"/>
      <c r="T924" s="1146"/>
      <c r="U924" s="966"/>
      <c r="V924" s="966"/>
      <c r="W924" s="966"/>
      <c r="X924" s="48" t="e">
        <f>SUM(#REF!)</f>
        <v>#REF!</v>
      </c>
      <c r="Y924" s="678"/>
      <c r="Z924" s="678"/>
      <c r="AA924" s="678"/>
      <c r="AB924" s="678"/>
      <c r="AC924" s="678"/>
      <c r="AD924" s="52">
        <v>10000</v>
      </c>
      <c r="AE924" s="3"/>
      <c r="AF924" s="24"/>
      <c r="AG924" s="48">
        <f t="shared" si="37"/>
        <v>10000</v>
      </c>
      <c r="AH924" s="17" t="e">
        <f t="shared" si="38"/>
        <v>#REF!</v>
      </c>
    </row>
    <row r="925" spans="8:34" hidden="1">
      <c r="H925" s="2912"/>
      <c r="I925" s="2912"/>
      <c r="J925" s="2912"/>
      <c r="K925" s="2912"/>
      <c r="L925" s="2913"/>
      <c r="M925" s="2913"/>
      <c r="N925" s="2913"/>
      <c r="O925" s="2913"/>
      <c r="P925" s="2914"/>
      <c r="Q925" s="1745"/>
      <c r="R925" s="2217"/>
      <c r="S925" s="1745"/>
      <c r="T925" s="1146"/>
      <c r="U925" s="966"/>
      <c r="V925" s="966"/>
      <c r="W925" s="966"/>
      <c r="X925" s="44" t="e">
        <f>X926</f>
        <v>#REF!</v>
      </c>
      <c r="Y925" s="677"/>
      <c r="Z925" s="677"/>
      <c r="AA925" s="677"/>
      <c r="AB925" s="677"/>
      <c r="AC925" s="677"/>
      <c r="AD925" s="59">
        <f>SUM(AD926)</f>
        <v>5000</v>
      </c>
      <c r="AE925" s="3"/>
      <c r="AF925" s="24"/>
      <c r="AG925" s="44">
        <f>AG926</f>
        <v>5000</v>
      </c>
      <c r="AH925" s="17" t="e">
        <f t="shared" si="38"/>
        <v>#REF!</v>
      </c>
    </row>
    <row r="926" spans="8:34" hidden="1">
      <c r="H926" s="2912"/>
      <c r="I926" s="2912"/>
      <c r="J926" s="2912"/>
      <c r="K926" s="2912"/>
      <c r="L926" s="2913"/>
      <c r="M926" s="2913"/>
      <c r="N926" s="2913"/>
      <c r="O926" s="2913"/>
      <c r="P926" s="2914"/>
      <c r="Q926" s="1745"/>
      <c r="R926" s="2217"/>
      <c r="S926" s="1745"/>
      <c r="T926" s="1146"/>
      <c r="U926" s="966"/>
      <c r="V926" s="966"/>
      <c r="W926" s="966"/>
      <c r="X926" s="48" t="e">
        <f>SUM(#REF!)</f>
        <v>#REF!</v>
      </c>
      <c r="Y926" s="678"/>
      <c r="Z926" s="678"/>
      <c r="AA926" s="678"/>
      <c r="AB926" s="678"/>
      <c r="AC926" s="678"/>
      <c r="AD926" s="62">
        <v>5000</v>
      </c>
      <c r="AE926" s="3"/>
      <c r="AF926" s="24"/>
      <c r="AG926" s="48">
        <f t="shared" ref="AG926:AG933" si="39">SUM(AD926:AF926)</f>
        <v>5000</v>
      </c>
      <c r="AH926" s="17" t="e">
        <f t="shared" si="38"/>
        <v>#REF!</v>
      </c>
    </row>
    <row r="927" spans="8:34" hidden="1">
      <c r="H927" s="2912"/>
      <c r="I927" s="2912"/>
      <c r="J927" s="2912"/>
      <c r="K927" s="2912"/>
      <c r="L927" s="2913"/>
      <c r="M927" s="2913"/>
      <c r="N927" s="2913"/>
      <c r="O927" s="2913"/>
      <c r="P927" s="2914"/>
      <c r="Q927" s="1745"/>
      <c r="R927" s="2217"/>
      <c r="S927" s="1745"/>
      <c r="T927" s="1146"/>
      <c r="U927" s="966"/>
      <c r="V927" s="966"/>
      <c r="W927" s="966"/>
      <c r="X927" s="44" t="e">
        <f>SUM(#REF!)</f>
        <v>#REF!</v>
      </c>
      <c r="Y927" s="677"/>
      <c r="Z927" s="677"/>
      <c r="AA927" s="677"/>
      <c r="AB927" s="677"/>
      <c r="AC927" s="677"/>
      <c r="AD927" s="63">
        <v>20000</v>
      </c>
      <c r="AE927" s="3"/>
      <c r="AF927" s="24"/>
      <c r="AG927" s="44">
        <f t="shared" si="39"/>
        <v>20000</v>
      </c>
      <c r="AH927" s="17" t="e">
        <f t="shared" si="38"/>
        <v>#REF!</v>
      </c>
    </row>
    <row r="928" spans="8:34" hidden="1">
      <c r="H928" s="2912"/>
      <c r="I928" s="2912"/>
      <c r="J928" s="2912"/>
      <c r="K928" s="2912"/>
      <c r="L928" s="2913"/>
      <c r="M928" s="2913"/>
      <c r="N928" s="2913"/>
      <c r="O928" s="2913"/>
      <c r="P928" s="2914"/>
      <c r="Q928" s="1745"/>
      <c r="R928" s="2217"/>
      <c r="S928" s="1745"/>
      <c r="T928" s="1146"/>
      <c r="U928" s="966"/>
      <c r="V928" s="966"/>
      <c r="W928" s="966"/>
      <c r="X928" s="44" t="e">
        <f>SUM(#REF!)</f>
        <v>#REF!</v>
      </c>
      <c r="Y928" s="677"/>
      <c r="Z928" s="677"/>
      <c r="AA928" s="677"/>
      <c r="AB928" s="677"/>
      <c r="AC928" s="677"/>
      <c r="AD928" s="63"/>
      <c r="AE928" s="3"/>
      <c r="AF928" s="24"/>
      <c r="AG928" s="44">
        <f t="shared" si="39"/>
        <v>0</v>
      </c>
      <c r="AH928" s="17" t="e">
        <f t="shared" si="38"/>
        <v>#REF!</v>
      </c>
    </row>
    <row r="929" spans="8:34" hidden="1">
      <c r="H929" s="2915"/>
      <c r="I929" s="2915"/>
      <c r="J929" s="2915"/>
      <c r="K929" s="2915"/>
      <c r="L929" s="2916"/>
      <c r="M929" s="2916"/>
      <c r="N929" s="2916"/>
      <c r="O929" s="2916"/>
      <c r="P929" s="2917"/>
      <c r="Q929" s="1746"/>
      <c r="R929" s="2218"/>
      <c r="S929" s="1746"/>
      <c r="T929" s="678"/>
      <c r="U929" s="48"/>
      <c r="V929" s="48"/>
      <c r="W929" s="48"/>
      <c r="X929" s="44" t="e">
        <f>SUM(#REF!)</f>
        <v>#REF!</v>
      </c>
      <c r="Y929" s="677"/>
      <c r="Z929" s="677"/>
      <c r="AA929" s="677"/>
      <c r="AB929" s="677"/>
      <c r="AC929" s="677"/>
      <c r="AD929" s="63">
        <v>500000</v>
      </c>
      <c r="AE929" s="64"/>
      <c r="AF929" s="65"/>
      <c r="AG929" s="44">
        <f t="shared" si="39"/>
        <v>500000</v>
      </c>
      <c r="AH929" s="17" t="e">
        <f t="shared" si="38"/>
        <v>#REF!</v>
      </c>
    </row>
    <row r="930" spans="8:34" hidden="1">
      <c r="H930" s="2915"/>
      <c r="I930" s="2915"/>
      <c r="J930" s="2915"/>
      <c r="K930" s="2915"/>
      <c r="L930" s="2916"/>
      <c r="M930" s="2916"/>
      <c r="N930" s="2916"/>
      <c r="O930" s="2916"/>
      <c r="P930" s="2917"/>
      <c r="Q930" s="1746"/>
      <c r="R930" s="2218"/>
      <c r="S930" s="1746"/>
      <c r="T930" s="678"/>
      <c r="U930" s="48"/>
      <c r="V930" s="48"/>
      <c r="W930" s="48"/>
      <c r="X930" s="44"/>
      <c r="Y930" s="677"/>
      <c r="Z930" s="677"/>
      <c r="AA930" s="677"/>
      <c r="AB930" s="677"/>
      <c r="AC930" s="677"/>
      <c r="AD930" s="67">
        <v>15000</v>
      </c>
      <c r="AE930" s="64"/>
      <c r="AF930" s="65"/>
      <c r="AG930" s="44">
        <f t="shared" si="39"/>
        <v>15000</v>
      </c>
      <c r="AH930" s="17"/>
    </row>
    <row r="931" spans="8:34" hidden="1">
      <c r="H931" s="2915"/>
      <c r="I931" s="2915"/>
      <c r="J931" s="2915"/>
      <c r="K931" s="2915"/>
      <c r="L931" s="2916"/>
      <c r="M931" s="2916"/>
      <c r="N931" s="2916"/>
      <c r="O931" s="2916"/>
      <c r="P931" s="2917"/>
      <c r="Q931" s="1746"/>
      <c r="R931" s="2218"/>
      <c r="S931" s="1746"/>
      <c r="T931" s="678"/>
      <c r="U931" s="48"/>
      <c r="V931" s="48"/>
      <c r="W931" s="48"/>
      <c r="X931" s="44" t="e">
        <f>SUM(#REF!)</f>
        <v>#REF!</v>
      </c>
      <c r="Y931" s="677"/>
      <c r="Z931" s="677"/>
      <c r="AA931" s="677"/>
      <c r="AB931" s="677"/>
      <c r="AC931" s="677"/>
      <c r="AD931" s="67"/>
      <c r="AE931" s="66"/>
      <c r="AF931" s="65"/>
      <c r="AG931" s="44">
        <f t="shared" si="39"/>
        <v>0</v>
      </c>
      <c r="AH931" s="17" t="e">
        <f>AG931/X931*100</f>
        <v>#REF!</v>
      </c>
    </row>
    <row r="932" spans="8:34" hidden="1">
      <c r="H932" s="2915"/>
      <c r="I932" s="2915"/>
      <c r="J932" s="2915"/>
      <c r="K932" s="2915"/>
      <c r="L932" s="2916"/>
      <c r="M932" s="2916"/>
      <c r="N932" s="2916"/>
      <c r="O932" s="2916"/>
      <c r="P932" s="2917"/>
      <c r="Q932" s="1746"/>
      <c r="R932" s="2218"/>
      <c r="S932" s="1746"/>
      <c r="T932" s="678"/>
      <c r="U932" s="48"/>
      <c r="V932" s="48"/>
      <c r="W932" s="48"/>
      <c r="X932" s="44" t="e">
        <f>SUM(#REF!)</f>
        <v>#REF!</v>
      </c>
      <c r="Y932" s="677"/>
      <c r="Z932" s="677"/>
      <c r="AA932" s="677"/>
      <c r="AB932" s="677"/>
      <c r="AC932" s="677"/>
      <c r="AD932" s="59"/>
      <c r="AE932" s="64"/>
      <c r="AF932" s="65"/>
      <c r="AG932" s="44">
        <f t="shared" si="39"/>
        <v>0</v>
      </c>
      <c r="AH932" s="17" t="e">
        <f>AG932/X932*100</f>
        <v>#REF!</v>
      </c>
    </row>
    <row r="933" spans="8:34" hidden="1">
      <c r="H933" s="2918"/>
      <c r="I933" s="2918"/>
      <c r="J933" s="2918"/>
      <c r="K933" s="2918"/>
      <c r="L933" s="2919"/>
      <c r="M933" s="2919"/>
      <c r="N933" s="2919"/>
      <c r="O933" s="2919"/>
      <c r="P933" s="2920"/>
      <c r="Q933" s="1747"/>
      <c r="R933" s="2219"/>
      <c r="S933" s="1747"/>
      <c r="T933" s="677"/>
      <c r="U933" s="44"/>
      <c r="V933" s="44"/>
      <c r="W933" s="44"/>
      <c r="X933" s="44" t="e">
        <f>SUM(#REF!)</f>
        <v>#REF!</v>
      </c>
      <c r="Y933" s="677"/>
      <c r="Z933" s="677"/>
      <c r="AA933" s="677"/>
      <c r="AB933" s="677"/>
      <c r="AC933" s="677"/>
      <c r="AD933" s="59"/>
      <c r="AE933" s="66"/>
      <c r="AF933" s="68"/>
      <c r="AG933" s="44">
        <f t="shared" si="39"/>
        <v>0</v>
      </c>
      <c r="AH933" s="17" t="e">
        <f>AG933/X933*100</f>
        <v>#REF!</v>
      </c>
    </row>
    <row r="934" spans="8:34" hidden="1">
      <c r="H934" s="2921"/>
      <c r="I934" s="2921"/>
      <c r="J934" s="2921"/>
      <c r="K934" s="2921"/>
      <c r="L934" s="2922"/>
      <c r="M934" s="2922"/>
      <c r="N934" s="2922"/>
      <c r="O934" s="2922"/>
      <c r="P934" s="2923"/>
      <c r="Q934" s="1511"/>
      <c r="R934" s="2220"/>
      <c r="S934" s="1511"/>
      <c r="T934" s="572"/>
      <c r="U934" s="12"/>
      <c r="V934" s="12"/>
      <c r="W934" s="12"/>
      <c r="X934" s="12" t="e">
        <f>SUM(X936,X965:X965,X973,X972)</f>
        <v>#REF!</v>
      </c>
      <c r="Y934" s="572"/>
      <c r="Z934" s="572"/>
      <c r="AA934" s="572"/>
      <c r="AB934" s="572"/>
      <c r="AC934" s="572"/>
      <c r="AD934" s="69">
        <f>SUM(AD936,AD965,AD973,AD972,AD974)</f>
        <v>1164450.01</v>
      </c>
      <c r="AE934" s="5">
        <f>SUM(AE936,AE965,AE973,AE972)</f>
        <v>0</v>
      </c>
      <c r="AF934" s="22">
        <f>SUM(AF936,AF965,AF973,AF972)</f>
        <v>0</v>
      </c>
      <c r="AG934" s="12">
        <f>SUM(AG936,AG965:AG965,AG973,AG972,AG974)</f>
        <v>1164450.01</v>
      </c>
      <c r="AH934" s="41" t="e">
        <f>AG934/X934*100</f>
        <v>#REF!</v>
      </c>
    </row>
    <row r="935" spans="8:34" hidden="1">
      <c r="H935" s="2921"/>
      <c r="I935" s="2921"/>
      <c r="J935" s="2921"/>
      <c r="K935" s="2921"/>
      <c r="L935" s="2922"/>
      <c r="M935" s="2922"/>
      <c r="N935" s="2922"/>
      <c r="O935" s="2922"/>
      <c r="P935" s="2923"/>
      <c r="Q935" s="1511"/>
      <c r="R935" s="2220"/>
      <c r="S935" s="1511"/>
      <c r="T935" s="572"/>
      <c r="U935" s="12"/>
      <c r="V935" s="12"/>
      <c r="W935" s="12"/>
      <c r="X935" s="12"/>
      <c r="Y935" s="572"/>
      <c r="Z935" s="572"/>
      <c r="AA935" s="572"/>
      <c r="AB935" s="572"/>
      <c r="AC935" s="572"/>
      <c r="AD935" s="69">
        <v>15</v>
      </c>
      <c r="AE935" s="5"/>
      <c r="AF935" s="22"/>
      <c r="AG935" s="12"/>
      <c r="AH935" s="41"/>
    </row>
    <row r="936" spans="8:34" hidden="1">
      <c r="H936" s="2909"/>
      <c r="I936" s="2909"/>
      <c r="J936" s="2909"/>
      <c r="K936" s="2909"/>
      <c r="L936" s="2910"/>
      <c r="M936" s="2910"/>
      <c r="N936" s="2910"/>
      <c r="O936" s="2910"/>
      <c r="P936" s="2911"/>
      <c r="Q936" s="1260"/>
      <c r="R936" s="2216"/>
      <c r="S936" s="1260"/>
      <c r="T936" s="446"/>
      <c r="U936" s="70"/>
      <c r="V936" s="70"/>
      <c r="W936" s="70"/>
      <c r="X936" s="70" t="e">
        <f t="shared" ref="X936:AG936" si="40">SUM(X937,X946,X948)</f>
        <v>#REF!</v>
      </c>
      <c r="Y936" s="446"/>
      <c r="Z936" s="446"/>
      <c r="AA936" s="446"/>
      <c r="AB936" s="446"/>
      <c r="AC936" s="446"/>
      <c r="AD936" s="59">
        <f t="shared" si="40"/>
        <v>884800</v>
      </c>
      <c r="AE936" s="55">
        <f t="shared" si="40"/>
        <v>0</v>
      </c>
      <c r="AF936" s="56">
        <f t="shared" si="40"/>
        <v>0</v>
      </c>
      <c r="AG936" s="70">
        <f t="shared" si="40"/>
        <v>884800</v>
      </c>
      <c r="AH936" s="17" t="e">
        <f t="shared" ref="AH936:AH973" si="41">AG936/X936*100</f>
        <v>#REF!</v>
      </c>
    </row>
    <row r="937" spans="8:34" hidden="1">
      <c r="H937" s="2909"/>
      <c r="I937" s="2909"/>
      <c r="J937" s="2909"/>
      <c r="K937" s="2909"/>
      <c r="L937" s="2910"/>
      <c r="M937" s="2910"/>
      <c r="N937" s="2910"/>
      <c r="O937" s="2910"/>
      <c r="P937" s="2911"/>
      <c r="Q937" s="1260"/>
      <c r="R937" s="2216"/>
      <c r="S937" s="1260"/>
      <c r="T937" s="446"/>
      <c r="U937" s="70"/>
      <c r="V937" s="70"/>
      <c r="W937" s="70"/>
      <c r="X937" s="70" t="e">
        <f t="shared" ref="X937:AG937" si="42">SUM(X938,X942)</f>
        <v>#REF!</v>
      </c>
      <c r="Y937" s="446"/>
      <c r="Z937" s="446"/>
      <c r="AA937" s="446"/>
      <c r="AB937" s="446"/>
      <c r="AC937" s="446"/>
      <c r="AD937" s="59">
        <f t="shared" si="42"/>
        <v>614800</v>
      </c>
      <c r="AE937" s="55">
        <f t="shared" si="42"/>
        <v>0</v>
      </c>
      <c r="AF937" s="56">
        <f t="shared" si="42"/>
        <v>0</v>
      </c>
      <c r="AG937" s="70">
        <f t="shared" si="42"/>
        <v>614800</v>
      </c>
      <c r="AH937" s="17" t="e">
        <f t="shared" si="41"/>
        <v>#REF!</v>
      </c>
    </row>
    <row r="938" spans="8:34" hidden="1">
      <c r="H938" s="2909"/>
      <c r="I938" s="2909"/>
      <c r="J938" s="2909"/>
      <c r="K938" s="2909"/>
      <c r="L938" s="2910"/>
      <c r="M938" s="2910"/>
      <c r="N938" s="2910"/>
      <c r="O938" s="2910"/>
      <c r="P938" s="2911"/>
      <c r="Q938" s="1260"/>
      <c r="R938" s="2216"/>
      <c r="S938" s="1260"/>
      <c r="T938" s="446"/>
      <c r="U938" s="70"/>
      <c r="V938" s="70"/>
      <c r="W938" s="70"/>
      <c r="X938" s="70" t="e">
        <f t="shared" ref="X938:AG938" si="43">SUM(X939:X941)</f>
        <v>#REF!</v>
      </c>
      <c r="Y938" s="446"/>
      <c r="Z938" s="446"/>
      <c r="AA938" s="446"/>
      <c r="AB938" s="446"/>
      <c r="AC938" s="446"/>
      <c r="AD938" s="59">
        <f t="shared" si="43"/>
        <v>570000</v>
      </c>
      <c r="AE938" s="55">
        <f t="shared" si="43"/>
        <v>0</v>
      </c>
      <c r="AF938" s="56">
        <f t="shared" si="43"/>
        <v>0</v>
      </c>
      <c r="AG938" s="70">
        <f t="shared" si="43"/>
        <v>570000</v>
      </c>
      <c r="AH938" s="17" t="e">
        <f t="shared" si="41"/>
        <v>#REF!</v>
      </c>
    </row>
    <row r="939" spans="8:34" hidden="1">
      <c r="H939" s="2924"/>
      <c r="I939" s="2924"/>
      <c r="J939" s="2924"/>
      <c r="K939" s="2924"/>
      <c r="L939" s="2925"/>
      <c r="M939" s="2925"/>
      <c r="N939" s="2925"/>
      <c r="O939" s="2925"/>
      <c r="P939" s="2926"/>
      <c r="Q939" s="1748"/>
      <c r="R939" s="2221"/>
      <c r="S939" s="1748"/>
      <c r="T939" s="679"/>
      <c r="U939" s="53"/>
      <c r="V939" s="53"/>
      <c r="W939" s="53"/>
      <c r="X939" s="53" t="e">
        <f>SUM(#REF!)</f>
        <v>#REF!</v>
      </c>
      <c r="Y939" s="679"/>
      <c r="Z939" s="679"/>
      <c r="AA939" s="679"/>
      <c r="AB939" s="679"/>
      <c r="AC939" s="679"/>
      <c r="AD939" s="50">
        <v>390000</v>
      </c>
      <c r="AE939" s="71"/>
      <c r="AF939" s="72"/>
      <c r="AG939" s="53">
        <f>SUM(AD939:AF939)</f>
        <v>390000</v>
      </c>
      <c r="AH939" s="17" t="e">
        <f t="shared" si="41"/>
        <v>#REF!</v>
      </c>
    </row>
    <row r="940" spans="8:34" hidden="1">
      <c r="H940" s="2924"/>
      <c r="I940" s="2924"/>
      <c r="J940" s="2924"/>
      <c r="K940" s="2924"/>
      <c r="L940" s="2925"/>
      <c r="M940" s="2925"/>
      <c r="N940" s="2925"/>
      <c r="O940" s="2925"/>
      <c r="P940" s="2926"/>
      <c r="Q940" s="1748"/>
      <c r="R940" s="2221"/>
      <c r="S940" s="1748"/>
      <c r="T940" s="679"/>
      <c r="U940" s="53"/>
      <c r="V940" s="53"/>
      <c r="W940" s="53"/>
      <c r="X940" s="53"/>
      <c r="Y940" s="679"/>
      <c r="Z940" s="679"/>
      <c r="AA940" s="679"/>
      <c r="AB940" s="679"/>
      <c r="AC940" s="679"/>
      <c r="AD940" s="50"/>
      <c r="AE940" s="71"/>
      <c r="AF940" s="72"/>
      <c r="AG940" s="53">
        <f>SUM(AD940:AF940)</f>
        <v>0</v>
      </c>
      <c r="AH940" s="17" t="e">
        <f t="shared" si="41"/>
        <v>#DIV/0!</v>
      </c>
    </row>
    <row r="941" spans="8:34" hidden="1">
      <c r="H941" s="2924"/>
      <c r="I941" s="2924"/>
      <c r="J941" s="2924"/>
      <c r="K941" s="2924"/>
      <c r="L941" s="2925"/>
      <c r="M941" s="2925"/>
      <c r="N941" s="2925"/>
      <c r="O941" s="2925"/>
      <c r="P941" s="2926"/>
      <c r="Q941" s="1748"/>
      <c r="R941" s="2221"/>
      <c r="S941" s="1748"/>
      <c r="T941" s="679"/>
      <c r="U941" s="53"/>
      <c r="V941" s="53"/>
      <c r="W941" s="53"/>
      <c r="X941" s="53" t="e">
        <f>SUM(#REF!)</f>
        <v>#REF!</v>
      </c>
      <c r="Y941" s="679"/>
      <c r="Z941" s="679"/>
      <c r="AA941" s="679"/>
      <c r="AB941" s="679"/>
      <c r="AC941" s="679"/>
      <c r="AD941" s="50">
        <v>180000</v>
      </c>
      <c r="AE941" s="71"/>
      <c r="AF941" s="72"/>
      <c r="AG941" s="53">
        <f>SUM(AD941:AF941)</f>
        <v>180000</v>
      </c>
      <c r="AH941" s="17" t="e">
        <f t="shared" si="41"/>
        <v>#REF!</v>
      </c>
    </row>
    <row r="942" spans="8:34" hidden="1">
      <c r="H942" s="2909"/>
      <c r="I942" s="2909"/>
      <c r="J942" s="2909"/>
      <c r="K942" s="2909"/>
      <c r="L942" s="2910"/>
      <c r="M942" s="2910"/>
      <c r="N942" s="2910"/>
      <c r="O942" s="2910"/>
      <c r="P942" s="2911"/>
      <c r="Q942" s="1260"/>
      <c r="R942" s="2216"/>
      <c r="S942" s="1260"/>
      <c r="T942" s="446"/>
      <c r="U942" s="70"/>
      <c r="V942" s="70"/>
      <c r="W942" s="70"/>
      <c r="X942" s="70" t="e">
        <f t="shared" ref="X942:AG942" si="44">SUM(X943:X945)</f>
        <v>#REF!</v>
      </c>
      <c r="Y942" s="446"/>
      <c r="Z942" s="446"/>
      <c r="AA942" s="446"/>
      <c r="AB942" s="446"/>
      <c r="AC942" s="446"/>
      <c r="AD942" s="59">
        <f t="shared" si="44"/>
        <v>44800</v>
      </c>
      <c r="AE942" s="55">
        <f t="shared" si="44"/>
        <v>0</v>
      </c>
      <c r="AF942" s="56">
        <f t="shared" si="44"/>
        <v>0</v>
      </c>
      <c r="AG942" s="70">
        <f t="shared" si="44"/>
        <v>44800</v>
      </c>
      <c r="AH942" s="17" t="e">
        <f t="shared" si="41"/>
        <v>#REF!</v>
      </c>
    </row>
    <row r="943" spans="8:34" hidden="1">
      <c r="H943" s="2924"/>
      <c r="I943" s="2924"/>
      <c r="J943" s="2924"/>
      <c r="K943" s="2924"/>
      <c r="L943" s="2925"/>
      <c r="M943" s="2925"/>
      <c r="N943" s="2925"/>
      <c r="O943" s="2925"/>
      <c r="P943" s="2926"/>
      <c r="Q943" s="1748"/>
      <c r="R943" s="2221"/>
      <c r="S943" s="1748"/>
      <c r="T943" s="679"/>
      <c r="U943" s="53"/>
      <c r="V943" s="53"/>
      <c r="W943" s="53"/>
      <c r="X943" s="53" t="e">
        <f>SUM(#REF!)</f>
        <v>#REF!</v>
      </c>
      <c r="Y943" s="679"/>
      <c r="Z943" s="679"/>
      <c r="AA943" s="679"/>
      <c r="AB943" s="679"/>
      <c r="AC943" s="679"/>
      <c r="AD943" s="50">
        <v>4000</v>
      </c>
      <c r="AE943" s="71"/>
      <c r="AF943" s="72"/>
      <c r="AG943" s="53">
        <f>SUM(AD943:AF943)</f>
        <v>4000</v>
      </c>
      <c r="AH943" s="17" t="e">
        <f t="shared" si="41"/>
        <v>#REF!</v>
      </c>
    </row>
    <row r="944" spans="8:34" hidden="1">
      <c r="H944" s="2924"/>
      <c r="I944" s="2924"/>
      <c r="J944" s="2924"/>
      <c r="K944" s="2924"/>
      <c r="L944" s="2925"/>
      <c r="M944" s="2925"/>
      <c r="N944" s="2925"/>
      <c r="O944" s="2925"/>
      <c r="P944" s="2926"/>
      <c r="Q944" s="1748"/>
      <c r="R944" s="2221"/>
      <c r="S944" s="1748"/>
      <c r="T944" s="679"/>
      <c r="U944" s="53"/>
      <c r="V944" s="53"/>
      <c r="W944" s="53"/>
      <c r="X944" s="53" t="e">
        <f>SUM(#REF!)</f>
        <v>#REF!</v>
      </c>
      <c r="Y944" s="679"/>
      <c r="Z944" s="679"/>
      <c r="AA944" s="679"/>
      <c r="AB944" s="679"/>
      <c r="AC944" s="679"/>
      <c r="AD944" s="52">
        <v>32000</v>
      </c>
      <c r="AE944" s="71"/>
      <c r="AF944" s="72"/>
      <c r="AG944" s="53">
        <f>SUM(AD944:AF944)</f>
        <v>32000</v>
      </c>
      <c r="AH944" s="17" t="e">
        <f t="shared" si="41"/>
        <v>#REF!</v>
      </c>
    </row>
    <row r="945" spans="8:34" hidden="1">
      <c r="H945" s="2924"/>
      <c r="I945" s="2924"/>
      <c r="J945" s="2924"/>
      <c r="K945" s="2924"/>
      <c r="L945" s="2925"/>
      <c r="M945" s="2925"/>
      <c r="N945" s="2925"/>
      <c r="O945" s="2925"/>
      <c r="P945" s="2926"/>
      <c r="Q945" s="1748"/>
      <c r="R945" s="2221"/>
      <c r="S945" s="1748"/>
      <c r="T945" s="679"/>
      <c r="U945" s="53"/>
      <c r="V945" s="53"/>
      <c r="W945" s="53"/>
      <c r="X945" s="53" t="e">
        <f>SUM(#REF!)</f>
        <v>#REF!</v>
      </c>
      <c r="Y945" s="679"/>
      <c r="Z945" s="679"/>
      <c r="AA945" s="679"/>
      <c r="AB945" s="679"/>
      <c r="AC945" s="679"/>
      <c r="AD945" s="52">
        <v>8800</v>
      </c>
      <c r="AE945" s="71"/>
      <c r="AF945" s="72"/>
      <c r="AG945" s="53">
        <f>SUM(AD945:AF945)</f>
        <v>8800</v>
      </c>
      <c r="AH945" s="17" t="e">
        <f t="shared" si="41"/>
        <v>#REF!</v>
      </c>
    </row>
    <row r="946" spans="8:34" hidden="1">
      <c r="H946" s="2909"/>
      <c r="I946" s="2909"/>
      <c r="J946" s="2909"/>
      <c r="K946" s="2909"/>
      <c r="L946" s="2910"/>
      <c r="M946" s="2910"/>
      <c r="N946" s="2910"/>
      <c r="O946" s="2910"/>
      <c r="P946" s="2911"/>
      <c r="Q946" s="1260"/>
      <c r="R946" s="2216"/>
      <c r="S946" s="1260"/>
      <c r="T946" s="446"/>
      <c r="U946" s="70"/>
      <c r="V946" s="70"/>
      <c r="W946" s="70"/>
      <c r="X946" s="70" t="e">
        <f t="shared" ref="X946:AG946" si="45">SUM(X947)</f>
        <v>#REF!</v>
      </c>
      <c r="Y946" s="446"/>
      <c r="Z946" s="446"/>
      <c r="AA946" s="446"/>
      <c r="AB946" s="446"/>
      <c r="AC946" s="446"/>
      <c r="AD946" s="59">
        <f t="shared" si="45"/>
        <v>56000</v>
      </c>
      <c r="AE946" s="55">
        <f t="shared" si="45"/>
        <v>0</v>
      </c>
      <c r="AF946" s="56">
        <f t="shared" si="45"/>
        <v>0</v>
      </c>
      <c r="AG946" s="70">
        <f t="shared" si="45"/>
        <v>56000</v>
      </c>
      <c r="AH946" s="17" t="e">
        <f t="shared" si="41"/>
        <v>#REF!</v>
      </c>
    </row>
    <row r="947" spans="8:34" hidden="1">
      <c r="H947" s="2924"/>
      <c r="I947" s="2924"/>
      <c r="J947" s="2924"/>
      <c r="K947" s="2924"/>
      <c r="L947" s="2925"/>
      <c r="M947" s="2925"/>
      <c r="N947" s="2925"/>
      <c r="O947" s="2925"/>
      <c r="P947" s="2926"/>
      <c r="Q947" s="1748"/>
      <c r="R947" s="2221"/>
      <c r="S947" s="1748"/>
      <c r="T947" s="679"/>
      <c r="U947" s="53"/>
      <c r="V947" s="53"/>
      <c r="W947" s="53"/>
      <c r="X947" s="53" t="e">
        <f>SUM(#REF!)</f>
        <v>#REF!</v>
      </c>
      <c r="Y947" s="679"/>
      <c r="Z947" s="679"/>
      <c r="AA947" s="679"/>
      <c r="AB947" s="679"/>
      <c r="AC947" s="679"/>
      <c r="AD947" s="52">
        <v>56000</v>
      </c>
      <c r="AE947" s="71"/>
      <c r="AF947" s="72"/>
      <c r="AG947" s="53">
        <f>SUM(AD947:AF947)</f>
        <v>56000</v>
      </c>
      <c r="AH947" s="17" t="e">
        <f t="shared" si="41"/>
        <v>#REF!</v>
      </c>
    </row>
    <row r="948" spans="8:34" hidden="1">
      <c r="H948" s="2909"/>
      <c r="I948" s="2909"/>
      <c r="J948" s="2909"/>
      <c r="K948" s="2909"/>
      <c r="L948" s="2910"/>
      <c r="M948" s="2910"/>
      <c r="N948" s="2910"/>
      <c r="O948" s="2910"/>
      <c r="P948" s="2911"/>
      <c r="Q948" s="1260"/>
      <c r="R948" s="2216"/>
      <c r="S948" s="1260"/>
      <c r="T948" s="446"/>
      <c r="U948" s="70"/>
      <c r="V948" s="70"/>
      <c r="W948" s="70"/>
      <c r="X948" s="70" t="e">
        <f t="shared" ref="X948:AG948" si="46">SUM(X949:X952)</f>
        <v>#REF!</v>
      </c>
      <c r="Y948" s="446"/>
      <c r="Z948" s="446"/>
      <c r="AA948" s="446"/>
      <c r="AB948" s="446"/>
      <c r="AC948" s="446"/>
      <c r="AD948" s="59">
        <f t="shared" si="46"/>
        <v>214000</v>
      </c>
      <c r="AE948" s="55">
        <f t="shared" si="46"/>
        <v>0</v>
      </c>
      <c r="AF948" s="56">
        <f t="shared" si="46"/>
        <v>0</v>
      </c>
      <c r="AG948" s="70">
        <f t="shared" si="46"/>
        <v>214000</v>
      </c>
      <c r="AH948" s="17" t="e">
        <f t="shared" si="41"/>
        <v>#REF!</v>
      </c>
    </row>
    <row r="949" spans="8:34" hidden="1">
      <c r="H949" s="2924"/>
      <c r="I949" s="2924"/>
      <c r="J949" s="2924"/>
      <c r="K949" s="2924"/>
      <c r="L949" s="2925"/>
      <c r="M949" s="2925"/>
      <c r="N949" s="2925"/>
      <c r="O949" s="2925"/>
      <c r="P949" s="2926"/>
      <c r="Q949" s="1748"/>
      <c r="R949" s="2221"/>
      <c r="S949" s="1748"/>
      <c r="T949" s="679"/>
      <c r="U949" s="53"/>
      <c r="V949" s="53"/>
      <c r="W949" s="53"/>
      <c r="X949" s="53" t="e">
        <f>SUM(#REF!)</f>
        <v>#REF!</v>
      </c>
      <c r="Y949" s="679"/>
      <c r="Z949" s="679"/>
      <c r="AA949" s="679"/>
      <c r="AB949" s="679"/>
      <c r="AC949" s="679"/>
      <c r="AD949" s="73">
        <v>20000</v>
      </c>
      <c r="AE949" s="71"/>
      <c r="AF949" s="72"/>
      <c r="AG949" s="53">
        <f>SUM(AD949:AF949)</f>
        <v>20000</v>
      </c>
      <c r="AH949" s="17" t="e">
        <f t="shared" si="41"/>
        <v>#REF!</v>
      </c>
    </row>
    <row r="950" spans="8:34" hidden="1">
      <c r="H950" s="2924"/>
      <c r="I950" s="2924"/>
      <c r="J950" s="2924"/>
      <c r="K950" s="2924"/>
      <c r="L950" s="2925"/>
      <c r="M950" s="2925"/>
      <c r="N950" s="2925"/>
      <c r="O950" s="2925"/>
      <c r="P950" s="2926"/>
      <c r="Q950" s="1748"/>
      <c r="R950" s="2221"/>
      <c r="S950" s="1748"/>
      <c r="T950" s="679"/>
      <c r="U950" s="53"/>
      <c r="V950" s="53"/>
      <c r="W950" s="53"/>
      <c r="X950" s="53" t="e">
        <f>SUM(#REF!)</f>
        <v>#REF!</v>
      </c>
      <c r="Y950" s="679"/>
      <c r="Z950" s="679"/>
      <c r="AA950" s="679"/>
      <c r="AB950" s="679"/>
      <c r="AC950" s="679"/>
      <c r="AD950" s="73">
        <v>10000</v>
      </c>
      <c r="AE950" s="71"/>
      <c r="AF950" s="72"/>
      <c r="AG950" s="53">
        <f>SUM(AD950:AF950)</f>
        <v>10000</v>
      </c>
      <c r="AH950" s="17" t="e">
        <f t="shared" si="41"/>
        <v>#REF!</v>
      </c>
    </row>
    <row r="951" spans="8:34" hidden="1">
      <c r="H951" s="2924"/>
      <c r="I951" s="2924"/>
      <c r="J951" s="2924"/>
      <c r="K951" s="2924"/>
      <c r="L951" s="2925"/>
      <c r="M951" s="2925"/>
      <c r="N951" s="2925"/>
      <c r="O951" s="2925"/>
      <c r="P951" s="2926"/>
      <c r="Q951" s="1748"/>
      <c r="R951" s="2221"/>
      <c r="S951" s="1748"/>
      <c r="T951" s="679"/>
      <c r="U951" s="53"/>
      <c r="V951" s="53"/>
      <c r="W951" s="53"/>
      <c r="X951" s="53" t="e">
        <f>SUM(#REF!)</f>
        <v>#REF!</v>
      </c>
      <c r="Y951" s="679"/>
      <c r="Z951" s="679"/>
      <c r="AA951" s="679"/>
      <c r="AB951" s="679"/>
      <c r="AC951" s="679"/>
      <c r="AD951" s="73">
        <v>12000</v>
      </c>
      <c r="AE951" s="71"/>
      <c r="AF951" s="72"/>
      <c r="AG951" s="53">
        <f>SUM(AD951:AF951)</f>
        <v>12000</v>
      </c>
      <c r="AH951" s="17" t="e">
        <f t="shared" si="41"/>
        <v>#REF!</v>
      </c>
    </row>
    <row r="952" spans="8:34" hidden="1">
      <c r="H952" s="2909"/>
      <c r="I952" s="2909"/>
      <c r="J952" s="2909"/>
      <c r="K952" s="2909"/>
      <c r="L952" s="2910"/>
      <c r="M952" s="2910"/>
      <c r="N952" s="2910"/>
      <c r="O952" s="2910"/>
      <c r="P952" s="2911"/>
      <c r="Q952" s="1260"/>
      <c r="R952" s="2216"/>
      <c r="S952" s="1260"/>
      <c r="T952" s="446"/>
      <c r="U952" s="70"/>
      <c r="V952" s="70"/>
      <c r="W952" s="70"/>
      <c r="X952" s="19" t="e">
        <f>SUM(X953:X964)</f>
        <v>#REF!</v>
      </c>
      <c r="Y952" s="575"/>
      <c r="Z952" s="575"/>
      <c r="AA952" s="575"/>
      <c r="AB952" s="575"/>
      <c r="AC952" s="575"/>
      <c r="AD952" s="59">
        <f>SUM(AD953:AD964)</f>
        <v>172000</v>
      </c>
      <c r="AE952" s="55">
        <f>SUM(AE953:AE963)</f>
        <v>0</v>
      </c>
      <c r="AF952" s="56">
        <f>SUM(AF953:AF963)</f>
        <v>0</v>
      </c>
      <c r="AG952" s="19">
        <f>SUM(AG953:AG964)</f>
        <v>172000</v>
      </c>
      <c r="AH952" s="17" t="e">
        <f t="shared" si="41"/>
        <v>#REF!</v>
      </c>
    </row>
    <row r="953" spans="8:34" hidden="1">
      <c r="H953" s="2924"/>
      <c r="I953" s="2924"/>
      <c r="J953" s="2924"/>
      <c r="K953" s="2924"/>
      <c r="L953" s="2925"/>
      <c r="M953" s="2925"/>
      <c r="N953" s="2925"/>
      <c r="O953" s="2925"/>
      <c r="P953" s="2926"/>
      <c r="Q953" s="1748"/>
      <c r="R953" s="2221"/>
      <c r="S953" s="1748"/>
      <c r="T953" s="679"/>
      <c r="U953" s="53"/>
      <c r="V953" s="53"/>
      <c r="W953" s="53"/>
      <c r="X953" s="53" t="e">
        <f>SUM(#REF!)</f>
        <v>#REF!</v>
      </c>
      <c r="Y953" s="679"/>
      <c r="Z953" s="679"/>
      <c r="AA953" s="679"/>
      <c r="AB953" s="679"/>
      <c r="AC953" s="679"/>
      <c r="AD953" s="52">
        <v>4000</v>
      </c>
      <c r="AE953" s="71"/>
      <c r="AF953" s="72"/>
      <c r="AG953" s="53">
        <f>SUM(AD953:AF953)</f>
        <v>4000</v>
      </c>
      <c r="AH953" s="17" t="e">
        <f t="shared" si="41"/>
        <v>#REF!</v>
      </c>
    </row>
    <row r="954" spans="8:34" hidden="1">
      <c r="H954" s="2924"/>
      <c r="I954" s="2924"/>
      <c r="J954" s="2924"/>
      <c r="K954" s="2924"/>
      <c r="L954" s="2925"/>
      <c r="M954" s="2925"/>
      <c r="N954" s="2925"/>
      <c r="O954" s="2925"/>
      <c r="P954" s="2926"/>
      <c r="Q954" s="1748"/>
      <c r="R954" s="2221"/>
      <c r="S954" s="1748"/>
      <c r="T954" s="679"/>
      <c r="U954" s="53"/>
      <c r="V954" s="53"/>
      <c r="W954" s="53"/>
      <c r="X954" s="53" t="e">
        <f>SUM(#REF!)</f>
        <v>#REF!</v>
      </c>
      <c r="Y954" s="679"/>
      <c r="Z954" s="679"/>
      <c r="AA954" s="679"/>
      <c r="AB954" s="679"/>
      <c r="AC954" s="679"/>
      <c r="AD954" s="52">
        <v>35000</v>
      </c>
      <c r="AE954" s="71"/>
      <c r="AF954" s="72"/>
      <c r="AG954" s="53">
        <f>SUM(AD954:AF954)</f>
        <v>35000</v>
      </c>
      <c r="AH954" s="17" t="e">
        <f t="shared" si="41"/>
        <v>#REF!</v>
      </c>
    </row>
    <row r="955" spans="8:34" hidden="1">
      <c r="H955" s="2924"/>
      <c r="I955" s="2924"/>
      <c r="J955" s="2924"/>
      <c r="K955" s="2924"/>
      <c r="L955" s="2925"/>
      <c r="M955" s="2925"/>
      <c r="N955" s="2925"/>
      <c r="O955" s="2925"/>
      <c r="P955" s="2926"/>
      <c r="Q955" s="1748"/>
      <c r="R955" s="2221"/>
      <c r="S955" s="1748"/>
      <c r="T955" s="679"/>
      <c r="U955" s="53"/>
      <c r="V955" s="53"/>
      <c r="W955" s="53"/>
      <c r="X955" s="53" t="e">
        <f>SUM(#REF!)</f>
        <v>#REF!</v>
      </c>
      <c r="Y955" s="679"/>
      <c r="Z955" s="679"/>
      <c r="AA955" s="679"/>
      <c r="AB955" s="679"/>
      <c r="AC955" s="679"/>
      <c r="AD955" s="52">
        <v>1000</v>
      </c>
      <c r="AE955" s="71"/>
      <c r="AF955" s="72"/>
      <c r="AG955" s="53">
        <f>SUM(AD955:AF955)</f>
        <v>1000</v>
      </c>
      <c r="AH955" s="17" t="e">
        <f t="shared" si="41"/>
        <v>#REF!</v>
      </c>
    </row>
    <row r="956" spans="8:34" hidden="1">
      <c r="H956" s="2924"/>
      <c r="I956" s="2924"/>
      <c r="J956" s="2924"/>
      <c r="K956" s="2924"/>
      <c r="L956" s="2925"/>
      <c r="M956" s="2925"/>
      <c r="N956" s="2925"/>
      <c r="O956" s="2925"/>
      <c r="P956" s="2926"/>
      <c r="Q956" s="1748"/>
      <c r="R956" s="2221"/>
      <c r="S956" s="1748"/>
      <c r="T956" s="679"/>
      <c r="U956" s="53"/>
      <c r="V956" s="53"/>
      <c r="W956" s="53"/>
      <c r="X956" s="53" t="e">
        <f>SUM(#REF!)</f>
        <v>#REF!</v>
      </c>
      <c r="Y956" s="679"/>
      <c r="Z956" s="679"/>
      <c r="AA956" s="679"/>
      <c r="AB956" s="679"/>
      <c r="AC956" s="679"/>
      <c r="AD956" s="74">
        <v>50000</v>
      </c>
      <c r="AE956" s="71"/>
      <c r="AF956" s="72"/>
      <c r="AG956" s="53">
        <f t="shared" ref="AG956:AG964" si="47">SUM(AD956:AF956)</f>
        <v>50000</v>
      </c>
      <c r="AH956" s="17" t="e">
        <f t="shared" si="41"/>
        <v>#REF!</v>
      </c>
    </row>
    <row r="957" spans="8:34" hidden="1">
      <c r="H957" s="2924"/>
      <c r="I957" s="2924"/>
      <c r="J957" s="2924"/>
      <c r="K957" s="2924"/>
      <c r="L957" s="2925"/>
      <c r="M957" s="2925"/>
      <c r="N957" s="2925"/>
      <c r="O957" s="2925"/>
      <c r="P957" s="2926"/>
      <c r="Q957" s="1748"/>
      <c r="R957" s="2221"/>
      <c r="S957" s="1748"/>
      <c r="T957" s="679"/>
      <c r="U957" s="53"/>
      <c r="V957" s="53"/>
      <c r="W957" s="53"/>
      <c r="X957" s="53" t="e">
        <f>SUM(#REF!)</f>
        <v>#REF!</v>
      </c>
      <c r="Y957" s="679"/>
      <c r="Z957" s="679"/>
      <c r="AA957" s="679"/>
      <c r="AB957" s="679"/>
      <c r="AC957" s="679"/>
      <c r="AD957" s="75">
        <v>10000</v>
      </c>
      <c r="AE957" s="71"/>
      <c r="AF957" s="72"/>
      <c r="AG957" s="53">
        <f t="shared" si="47"/>
        <v>10000</v>
      </c>
      <c r="AH957" s="17" t="e">
        <f t="shared" si="41"/>
        <v>#REF!</v>
      </c>
    </row>
    <row r="958" spans="8:34" hidden="1">
      <c r="H958" s="2924"/>
      <c r="I958" s="2924"/>
      <c r="J958" s="2924"/>
      <c r="K958" s="2924"/>
      <c r="L958" s="2925"/>
      <c r="M958" s="2925"/>
      <c r="N958" s="2925"/>
      <c r="O958" s="2925"/>
      <c r="P958" s="2926"/>
      <c r="Q958" s="1748"/>
      <c r="R958" s="2221"/>
      <c r="S958" s="1748"/>
      <c r="T958" s="679"/>
      <c r="U958" s="53"/>
      <c r="V958" s="53"/>
      <c r="W958" s="53"/>
      <c r="X958" s="53" t="e">
        <f>SUM(#REF!)</f>
        <v>#REF!</v>
      </c>
      <c r="Y958" s="679"/>
      <c r="Z958" s="679"/>
      <c r="AA958" s="679"/>
      <c r="AB958" s="679"/>
      <c r="AC958" s="679"/>
      <c r="AD958" s="52">
        <v>2000</v>
      </c>
      <c r="AE958" s="71"/>
      <c r="AF958" s="72"/>
      <c r="AG958" s="53">
        <f t="shared" si="47"/>
        <v>2000</v>
      </c>
      <c r="AH958" s="17" t="e">
        <f t="shared" si="41"/>
        <v>#REF!</v>
      </c>
    </row>
    <row r="959" spans="8:34" hidden="1">
      <c r="H959" s="2924"/>
      <c r="I959" s="2924"/>
      <c r="J959" s="2924"/>
      <c r="K959" s="2924"/>
      <c r="L959" s="2925"/>
      <c r="M959" s="2925"/>
      <c r="N959" s="2925"/>
      <c r="O959" s="2925"/>
      <c r="P959" s="2926"/>
      <c r="Q959" s="1748"/>
      <c r="R959" s="2221"/>
      <c r="S959" s="1748"/>
      <c r="T959" s="679"/>
      <c r="U959" s="53"/>
      <c r="V959" s="53"/>
      <c r="W959" s="53"/>
      <c r="X959" s="53" t="e">
        <f>SUM(#REF!)</f>
        <v>#REF!</v>
      </c>
      <c r="Y959" s="679"/>
      <c r="Z959" s="679"/>
      <c r="AA959" s="679"/>
      <c r="AB959" s="679"/>
      <c r="AC959" s="679"/>
      <c r="AD959" s="52">
        <v>20000</v>
      </c>
      <c r="AE959" s="71"/>
      <c r="AF959" s="72"/>
      <c r="AG959" s="53">
        <f t="shared" si="47"/>
        <v>20000</v>
      </c>
      <c r="AH959" s="17" t="e">
        <f t="shared" si="41"/>
        <v>#REF!</v>
      </c>
    </row>
    <row r="960" spans="8:34" hidden="1">
      <c r="H960" s="2924"/>
      <c r="I960" s="2924"/>
      <c r="J960" s="2924"/>
      <c r="K960" s="2924"/>
      <c r="L960" s="2925"/>
      <c r="M960" s="2925"/>
      <c r="N960" s="2925"/>
      <c r="O960" s="2925"/>
      <c r="P960" s="2926"/>
      <c r="Q960" s="1748"/>
      <c r="R960" s="2221"/>
      <c r="S960" s="1748"/>
      <c r="T960" s="679"/>
      <c r="U960" s="53"/>
      <c r="V960" s="53"/>
      <c r="W960" s="53"/>
      <c r="X960" s="53" t="e">
        <f>SUM(#REF!)</f>
        <v>#REF!</v>
      </c>
      <c r="Y960" s="679"/>
      <c r="Z960" s="679"/>
      <c r="AA960" s="679"/>
      <c r="AB960" s="679"/>
      <c r="AC960" s="679"/>
      <c r="AD960" s="52">
        <v>15000</v>
      </c>
      <c r="AE960" s="71"/>
      <c r="AF960" s="72"/>
      <c r="AG960" s="53">
        <f t="shared" si="47"/>
        <v>15000</v>
      </c>
      <c r="AH960" s="17" t="e">
        <f t="shared" si="41"/>
        <v>#REF!</v>
      </c>
    </row>
    <row r="961" spans="8:34" hidden="1">
      <c r="H961" s="2924"/>
      <c r="I961" s="2924"/>
      <c r="J961" s="2924"/>
      <c r="K961" s="2924"/>
      <c r="L961" s="2925"/>
      <c r="M961" s="2925"/>
      <c r="N961" s="2925"/>
      <c r="O961" s="2925"/>
      <c r="P961" s="2926"/>
      <c r="Q961" s="1748"/>
      <c r="R961" s="2221"/>
      <c r="S961" s="1748"/>
      <c r="T961" s="679"/>
      <c r="U961" s="53"/>
      <c r="V961" s="53"/>
      <c r="W961" s="53"/>
      <c r="X961" s="53" t="e">
        <f>SUM(#REF!)</f>
        <v>#REF!</v>
      </c>
      <c r="Y961" s="679"/>
      <c r="Z961" s="679"/>
      <c r="AA961" s="679"/>
      <c r="AB961" s="679"/>
      <c r="AC961" s="679"/>
      <c r="AD961" s="52">
        <v>10000</v>
      </c>
      <c r="AE961" s="71"/>
      <c r="AF961" s="72"/>
      <c r="AG961" s="53">
        <f t="shared" si="47"/>
        <v>10000</v>
      </c>
      <c r="AH961" s="17" t="e">
        <f t="shared" si="41"/>
        <v>#REF!</v>
      </c>
    </row>
    <row r="962" spans="8:34" hidden="1">
      <c r="H962" s="2924"/>
      <c r="I962" s="2924"/>
      <c r="J962" s="2924"/>
      <c r="K962" s="2924"/>
      <c r="L962" s="2925"/>
      <c r="M962" s="2925"/>
      <c r="N962" s="2925"/>
      <c r="O962" s="2925"/>
      <c r="P962" s="2926"/>
      <c r="Q962" s="1748"/>
      <c r="R962" s="2221"/>
      <c r="S962" s="1748"/>
      <c r="T962" s="679"/>
      <c r="U962" s="53"/>
      <c r="V962" s="53"/>
      <c r="W962" s="53"/>
      <c r="X962" s="53" t="e">
        <f>SUM(#REF!)</f>
        <v>#REF!</v>
      </c>
      <c r="Y962" s="679"/>
      <c r="Z962" s="679"/>
      <c r="AA962" s="679"/>
      <c r="AB962" s="679"/>
      <c r="AC962" s="679"/>
      <c r="AD962" s="52">
        <v>10000</v>
      </c>
      <c r="AE962" s="71"/>
      <c r="AF962" s="72"/>
      <c r="AG962" s="53">
        <f t="shared" si="47"/>
        <v>10000</v>
      </c>
      <c r="AH962" s="17" t="e">
        <f t="shared" si="41"/>
        <v>#REF!</v>
      </c>
    </row>
    <row r="963" spans="8:34" hidden="1">
      <c r="H963" s="2924"/>
      <c r="I963" s="2924"/>
      <c r="J963" s="2924"/>
      <c r="K963" s="2924"/>
      <c r="L963" s="2925"/>
      <c r="M963" s="2925"/>
      <c r="N963" s="2925"/>
      <c r="O963" s="2925"/>
      <c r="P963" s="2926"/>
      <c r="Q963" s="1748"/>
      <c r="R963" s="2221"/>
      <c r="S963" s="1748"/>
      <c r="T963" s="679"/>
      <c r="U963" s="53"/>
      <c r="V963" s="53"/>
      <c r="W963" s="53"/>
      <c r="X963" s="53" t="e">
        <f>SUM(#REF!)</f>
        <v>#REF!</v>
      </c>
      <c r="Y963" s="679"/>
      <c r="Z963" s="679"/>
      <c r="AA963" s="679"/>
      <c r="AB963" s="679"/>
      <c r="AC963" s="679"/>
      <c r="AD963" s="52"/>
      <c r="AE963" s="71"/>
      <c r="AF963" s="72"/>
      <c r="AG963" s="53">
        <f t="shared" si="47"/>
        <v>0</v>
      </c>
      <c r="AH963" s="17" t="e">
        <f t="shared" si="41"/>
        <v>#REF!</v>
      </c>
    </row>
    <row r="964" spans="8:34" hidden="1">
      <c r="H964" s="2924"/>
      <c r="I964" s="2924"/>
      <c r="J964" s="2924"/>
      <c r="K964" s="2924"/>
      <c r="L964" s="2925"/>
      <c r="M964" s="2925"/>
      <c r="N964" s="2925"/>
      <c r="O964" s="2925"/>
      <c r="P964" s="2926"/>
      <c r="Q964" s="1748"/>
      <c r="R964" s="2221"/>
      <c r="S964" s="1748"/>
      <c r="T964" s="679"/>
      <c r="U964" s="53"/>
      <c r="V964" s="53"/>
      <c r="W964" s="53"/>
      <c r="X964" s="53" t="e">
        <f>SUM(#REF!)</f>
        <v>#REF!</v>
      </c>
      <c r="Y964" s="679"/>
      <c r="Z964" s="679"/>
      <c r="AA964" s="679"/>
      <c r="AB964" s="679"/>
      <c r="AC964" s="679"/>
      <c r="AD964" s="52">
        <v>15000</v>
      </c>
      <c r="AE964" s="71"/>
      <c r="AF964" s="72"/>
      <c r="AG964" s="53">
        <f t="shared" si="47"/>
        <v>15000</v>
      </c>
      <c r="AH964" s="17" t="e">
        <f t="shared" si="41"/>
        <v>#REF!</v>
      </c>
    </row>
    <row r="965" spans="8:34" hidden="1">
      <c r="H965" s="2909"/>
      <c r="I965" s="2909"/>
      <c r="J965" s="2909"/>
      <c r="K965" s="2909"/>
      <c r="L965" s="2910"/>
      <c r="M965" s="2910"/>
      <c r="N965" s="2910"/>
      <c r="O965" s="2910"/>
      <c r="P965" s="2911"/>
      <c r="Q965" s="1260"/>
      <c r="R965" s="2216"/>
      <c r="S965" s="1260"/>
      <c r="T965" s="446"/>
      <c r="U965" s="70"/>
      <c r="V965" s="70"/>
      <c r="W965" s="70"/>
      <c r="X965" s="19" t="e">
        <f t="shared" ref="X965:AG965" si="48">SUM(X966:X970)</f>
        <v>#REF!</v>
      </c>
      <c r="Y965" s="575"/>
      <c r="Z965" s="575"/>
      <c r="AA965" s="575"/>
      <c r="AB965" s="575"/>
      <c r="AC965" s="575"/>
      <c r="AD965" s="59">
        <f t="shared" si="48"/>
        <v>125000.01</v>
      </c>
      <c r="AE965" s="55">
        <f t="shared" si="48"/>
        <v>0</v>
      </c>
      <c r="AF965" s="56">
        <f t="shared" si="48"/>
        <v>0</v>
      </c>
      <c r="AG965" s="19">
        <f t="shared" si="48"/>
        <v>125000.01</v>
      </c>
      <c r="AH965" s="17" t="e">
        <f t="shared" si="41"/>
        <v>#REF!</v>
      </c>
    </row>
    <row r="966" spans="8:34" hidden="1">
      <c r="H966" s="2924"/>
      <c r="I966" s="2924"/>
      <c r="J966" s="2924"/>
      <c r="K966" s="2924"/>
      <c r="L966" s="2925"/>
      <c r="M966" s="2925"/>
      <c r="N966" s="2925"/>
      <c r="O966" s="2925"/>
      <c r="P966" s="2926"/>
      <c r="Q966" s="1748"/>
      <c r="R966" s="2221"/>
      <c r="S966" s="1748"/>
      <c r="T966" s="679"/>
      <c r="U966" s="53"/>
      <c r="V966" s="53"/>
      <c r="W966" s="53"/>
      <c r="X966" s="53"/>
      <c r="Y966" s="679"/>
      <c r="Z966" s="679"/>
      <c r="AA966" s="679"/>
      <c r="AB966" s="679"/>
      <c r="AC966" s="679"/>
      <c r="AD966" s="52"/>
      <c r="AE966" s="71"/>
      <c r="AF966" s="72"/>
      <c r="AG966" s="53"/>
      <c r="AH966" s="17" t="e">
        <f t="shared" si="41"/>
        <v>#DIV/0!</v>
      </c>
    </row>
    <row r="967" spans="8:34" hidden="1">
      <c r="H967" s="2924"/>
      <c r="I967" s="2924"/>
      <c r="J967" s="2924"/>
      <c r="K967" s="2924"/>
      <c r="L967" s="2925"/>
      <c r="M967" s="2925"/>
      <c r="N967" s="2925"/>
      <c r="O967" s="2925"/>
      <c r="P967" s="2926"/>
      <c r="Q967" s="1748"/>
      <c r="R967" s="2221"/>
      <c r="S967" s="1748"/>
      <c r="T967" s="679"/>
      <c r="U967" s="53"/>
      <c r="V967" s="53"/>
      <c r="W967" s="53"/>
      <c r="X967" s="53" t="e">
        <f>SUM(#REF!)</f>
        <v>#REF!</v>
      </c>
      <c r="Y967" s="679"/>
      <c r="Z967" s="679"/>
      <c r="AA967" s="679"/>
      <c r="AB967" s="679"/>
      <c r="AC967" s="679"/>
      <c r="AD967" s="52">
        <v>25000.01</v>
      </c>
      <c r="AE967" s="71"/>
      <c r="AF967" s="72"/>
      <c r="AG967" s="53">
        <f>SUM(AD967:AF967)</f>
        <v>25000.01</v>
      </c>
      <c r="AH967" s="17" t="e">
        <f t="shared" si="41"/>
        <v>#REF!</v>
      </c>
    </row>
    <row r="968" spans="8:34" hidden="1">
      <c r="H968" s="2924"/>
      <c r="I968" s="2924"/>
      <c r="J968" s="2924"/>
      <c r="K968" s="2924"/>
      <c r="L968" s="2925"/>
      <c r="M968" s="2925"/>
      <c r="N968" s="2925"/>
      <c r="O968" s="2925"/>
      <c r="P968" s="2926"/>
      <c r="Q968" s="1748"/>
      <c r="R968" s="2221"/>
      <c r="S968" s="1748"/>
      <c r="T968" s="679"/>
      <c r="U968" s="53"/>
      <c r="V968" s="53"/>
      <c r="W968" s="53"/>
      <c r="X968" s="53" t="e">
        <f>SUM(#REF!)</f>
        <v>#REF!</v>
      </c>
      <c r="Y968" s="679"/>
      <c r="Z968" s="679"/>
      <c r="AA968" s="679"/>
      <c r="AB968" s="679"/>
      <c r="AC968" s="679"/>
      <c r="AD968" s="52">
        <v>50000</v>
      </c>
      <c r="AE968" s="71"/>
      <c r="AF968" s="72"/>
      <c r="AG968" s="53">
        <f>SUM(AD968:AF968)</f>
        <v>50000</v>
      </c>
      <c r="AH968" s="17" t="e">
        <f t="shared" si="41"/>
        <v>#REF!</v>
      </c>
    </row>
    <row r="969" spans="8:34" hidden="1">
      <c r="H969" s="2924"/>
      <c r="I969" s="2924"/>
      <c r="J969" s="2924"/>
      <c r="K969" s="2924"/>
      <c r="L969" s="2925"/>
      <c r="M969" s="2925"/>
      <c r="N969" s="2925"/>
      <c r="O969" s="2925"/>
      <c r="P969" s="2926"/>
      <c r="Q969" s="1748"/>
      <c r="R969" s="2221"/>
      <c r="S969" s="1748"/>
      <c r="T969" s="679"/>
      <c r="U969" s="53"/>
      <c r="V969" s="53"/>
      <c r="W969" s="53"/>
      <c r="X969" s="53" t="e">
        <f>SUM(#REF!)</f>
        <v>#REF!</v>
      </c>
      <c r="Y969" s="679"/>
      <c r="Z969" s="679"/>
      <c r="AA969" s="679"/>
      <c r="AB969" s="679"/>
      <c r="AC969" s="679"/>
      <c r="AD969" s="52">
        <v>50000</v>
      </c>
      <c r="AE969" s="71"/>
      <c r="AF969" s="72"/>
      <c r="AG969" s="53">
        <f>SUM(AD969:AF969)</f>
        <v>50000</v>
      </c>
      <c r="AH969" s="17" t="e">
        <f t="shared" si="41"/>
        <v>#REF!</v>
      </c>
    </row>
    <row r="970" spans="8:34" hidden="1">
      <c r="H970" s="2924"/>
      <c r="I970" s="2924"/>
      <c r="J970" s="2924"/>
      <c r="K970" s="2924"/>
      <c r="L970" s="2925"/>
      <c r="M970" s="2925"/>
      <c r="N970" s="2925"/>
      <c r="O970" s="2925"/>
      <c r="P970" s="2926"/>
      <c r="Q970" s="1748"/>
      <c r="R970" s="2221"/>
      <c r="S970" s="1748"/>
      <c r="T970" s="679"/>
      <c r="U970" s="53"/>
      <c r="V970" s="53"/>
      <c r="W970" s="53"/>
      <c r="X970" s="53" t="e">
        <f>SUM(#REF!)</f>
        <v>#REF!</v>
      </c>
      <c r="Y970" s="679"/>
      <c r="Z970" s="679"/>
      <c r="AA970" s="679"/>
      <c r="AB970" s="679"/>
      <c r="AC970" s="679"/>
      <c r="AD970" s="52"/>
      <c r="AE970" s="71"/>
      <c r="AF970" s="72"/>
      <c r="AG970" s="53">
        <f>SUM(AD970:AF970)</f>
        <v>0</v>
      </c>
      <c r="AH970" s="17" t="e">
        <f t="shared" si="41"/>
        <v>#REF!</v>
      </c>
    </row>
    <row r="971" spans="8:34" hidden="1">
      <c r="H971" s="2924"/>
      <c r="I971" s="2924"/>
      <c r="J971" s="2924"/>
      <c r="K971" s="2924"/>
      <c r="L971" s="2925"/>
      <c r="M971" s="2925"/>
      <c r="N971" s="2925"/>
      <c r="O971" s="2925"/>
      <c r="P971" s="2926"/>
      <c r="Q971" s="1748"/>
      <c r="R971" s="2221"/>
      <c r="S971" s="1748"/>
      <c r="T971" s="679"/>
      <c r="U971" s="53"/>
      <c r="V971" s="53"/>
      <c r="W971" s="53"/>
      <c r="X971" s="53"/>
      <c r="Y971" s="679"/>
      <c r="Z971" s="679"/>
      <c r="AA971" s="679"/>
      <c r="AB971" s="679"/>
      <c r="AC971" s="679"/>
      <c r="AD971" s="52"/>
      <c r="AE971" s="71"/>
      <c r="AF971" s="72"/>
      <c r="AG971" s="53"/>
      <c r="AH971" s="17" t="e">
        <f t="shared" si="41"/>
        <v>#DIV/0!</v>
      </c>
    </row>
    <row r="972" spans="8:34" hidden="1">
      <c r="H972" s="2909"/>
      <c r="I972" s="2909"/>
      <c r="J972" s="2909"/>
      <c r="K972" s="2909"/>
      <c r="L972" s="2910"/>
      <c r="M972" s="2910"/>
      <c r="N972" s="2910"/>
      <c r="O972" s="2910"/>
      <c r="P972" s="2911"/>
      <c r="Q972" s="1260"/>
      <c r="R972" s="2216"/>
      <c r="S972" s="1260"/>
      <c r="T972" s="446"/>
      <c r="U972" s="70"/>
      <c r="V972" s="70"/>
      <c r="W972" s="70"/>
      <c r="X972" s="70"/>
      <c r="Y972" s="446"/>
      <c r="Z972" s="446"/>
      <c r="AA972" s="446"/>
      <c r="AB972" s="446"/>
      <c r="AC972" s="446"/>
      <c r="AD972" s="59"/>
      <c r="AE972" s="55"/>
      <c r="AF972" s="56"/>
      <c r="AG972" s="70"/>
      <c r="AH972" s="17" t="e">
        <f t="shared" si="41"/>
        <v>#DIV/0!</v>
      </c>
    </row>
    <row r="973" spans="8:34" hidden="1">
      <c r="H973" s="2927"/>
      <c r="I973" s="2927"/>
      <c r="J973" s="2927"/>
      <c r="K973" s="2927"/>
      <c r="L973" s="2928"/>
      <c r="M973" s="2928"/>
      <c r="N973" s="2928"/>
      <c r="O973" s="2928"/>
      <c r="P973" s="2929"/>
      <c r="Q973" s="1749"/>
      <c r="R973" s="2222"/>
      <c r="S973" s="1749"/>
      <c r="T973" s="575"/>
      <c r="U973" s="19"/>
      <c r="V973" s="19"/>
      <c r="W973" s="19"/>
      <c r="X973" s="70" t="e">
        <f>SUM(#REF!)</f>
        <v>#REF!</v>
      </c>
      <c r="Y973" s="446"/>
      <c r="Z973" s="446"/>
      <c r="AA973" s="446"/>
      <c r="AB973" s="446"/>
      <c r="AC973" s="446"/>
      <c r="AD973" s="78">
        <v>50000</v>
      </c>
      <c r="AE973" s="76"/>
      <c r="AF973" s="77"/>
      <c r="AG973" s="70">
        <f>SUM(AD973:AF973)</f>
        <v>50000</v>
      </c>
      <c r="AH973" s="17" t="e">
        <f t="shared" si="41"/>
        <v>#REF!</v>
      </c>
    </row>
    <row r="974" spans="8:34" hidden="1">
      <c r="H974" s="2909"/>
      <c r="I974" s="2909"/>
      <c r="J974" s="2909"/>
      <c r="K974" s="2909"/>
      <c r="L974" s="2910"/>
      <c r="M974" s="2910"/>
      <c r="N974" s="2910"/>
      <c r="O974" s="2910"/>
      <c r="P974" s="2911"/>
      <c r="Q974" s="1260"/>
      <c r="R974" s="2216"/>
      <c r="S974" s="1260"/>
      <c r="T974" s="446"/>
      <c r="U974" s="70"/>
      <c r="V974" s="70"/>
      <c r="W974" s="70"/>
      <c r="X974" s="70" t="e">
        <f>SUM(X976)</f>
        <v>#REF!</v>
      </c>
      <c r="Y974" s="446"/>
      <c r="Z974" s="446"/>
      <c r="AA974" s="446"/>
      <c r="AB974" s="446"/>
      <c r="AC974" s="446"/>
      <c r="AD974" s="59">
        <f>AD975</f>
        <v>104650</v>
      </c>
      <c r="AE974" s="55">
        <f>SUM(AE986)</f>
        <v>0</v>
      </c>
      <c r="AF974" s="56">
        <f>SUM(AF986)</f>
        <v>0</v>
      </c>
      <c r="AG974" s="70">
        <f>AG975</f>
        <v>104650</v>
      </c>
      <c r="AH974" s="17"/>
    </row>
    <row r="975" spans="8:34" hidden="1">
      <c r="H975" s="2903"/>
      <c r="I975" s="2903"/>
      <c r="J975" s="2903"/>
      <c r="K975" s="2903"/>
      <c r="L975" s="2904"/>
      <c r="M975" s="2904"/>
      <c r="N975" s="2904"/>
      <c r="O975" s="2904"/>
      <c r="P975" s="2905"/>
      <c r="Q975" s="1743"/>
      <c r="R975" s="2214"/>
      <c r="S975" s="1743"/>
      <c r="T975" s="1144"/>
      <c r="U975" s="705"/>
      <c r="V975" s="705"/>
      <c r="W975" s="705"/>
      <c r="X975" s="70" t="e">
        <f>SUM(X976,X984,X986,X997)</f>
        <v>#REF!</v>
      </c>
      <c r="Y975" s="446"/>
      <c r="Z975" s="446"/>
      <c r="AA975" s="446"/>
      <c r="AB975" s="446"/>
      <c r="AC975" s="446"/>
      <c r="AD975" s="45">
        <f>SUM(AD976,AD984,AD986,AD997)</f>
        <v>104650</v>
      </c>
      <c r="AE975" s="42"/>
      <c r="AF975" s="43"/>
      <c r="AG975" s="70">
        <f>SUM(AG976,AG984,AG986,AG997)</f>
        <v>104650</v>
      </c>
      <c r="AH975" s="17"/>
    </row>
    <row r="976" spans="8:34" hidden="1">
      <c r="H976" s="2903"/>
      <c r="I976" s="2903"/>
      <c r="J976" s="2903"/>
      <c r="K976" s="2903"/>
      <c r="L976" s="2904"/>
      <c r="M976" s="2904"/>
      <c r="N976" s="2904"/>
      <c r="O976" s="2904"/>
      <c r="P976" s="2905"/>
      <c r="Q976" s="1743"/>
      <c r="R976" s="2214"/>
      <c r="S976" s="1743"/>
      <c r="T976" s="1144"/>
      <c r="U976" s="705"/>
      <c r="V976" s="705"/>
      <c r="W976" s="705"/>
      <c r="X976" s="70" t="e">
        <f>SUM(X977,X980)</f>
        <v>#REF!</v>
      </c>
      <c r="Y976" s="446"/>
      <c r="Z976" s="446"/>
      <c r="AA976" s="446"/>
      <c r="AB976" s="446"/>
      <c r="AC976" s="446"/>
      <c r="AD976" s="45">
        <f>SUM(AD977,AD980)</f>
        <v>85200</v>
      </c>
      <c r="AE976" s="42">
        <f>SUM(AE977:AE978)</f>
        <v>0</v>
      </c>
      <c r="AF976" s="43">
        <f>SUM(AF977:AF978)</f>
        <v>0</v>
      </c>
      <c r="AG976" s="70">
        <f>SUM(AG977,AG980)</f>
        <v>85200</v>
      </c>
      <c r="AH976" s="17"/>
    </row>
    <row r="977" spans="8:34" hidden="1">
      <c r="H977" s="2903"/>
      <c r="I977" s="2903"/>
      <c r="J977" s="2903"/>
      <c r="K977" s="2903"/>
      <c r="L977" s="2904"/>
      <c r="M977" s="2904"/>
      <c r="N977" s="2904"/>
      <c r="O977" s="2904"/>
      <c r="P977" s="2905"/>
      <c r="Q977" s="1743"/>
      <c r="R977" s="2214"/>
      <c r="S977" s="1743"/>
      <c r="T977" s="1144"/>
      <c r="U977" s="705"/>
      <c r="V977" s="705"/>
      <c r="W977" s="705"/>
      <c r="X977" s="70" t="e">
        <f>SUM(#REF!)</f>
        <v>#REF!</v>
      </c>
      <c r="Y977" s="446"/>
      <c r="Z977" s="446"/>
      <c r="AA977" s="446"/>
      <c r="AB977" s="446"/>
      <c r="AC977" s="446"/>
      <c r="AD977" s="45">
        <f>SUM(AD978:AD979)</f>
        <v>78000</v>
      </c>
      <c r="AE977" s="42">
        <f>SUM(AE978:AE979)</f>
        <v>0</v>
      </c>
      <c r="AF977" s="43">
        <f>SUM(AF978:AF979)</f>
        <v>0</v>
      </c>
      <c r="AG977" s="70">
        <f t="shared" ref="AG977:AG985" si="49">SUM(AD977:AF977)</f>
        <v>78000</v>
      </c>
      <c r="AH977" s="17"/>
    </row>
    <row r="978" spans="8:34" hidden="1">
      <c r="H978" s="2906"/>
      <c r="I978" s="2906"/>
      <c r="J978" s="2906"/>
      <c r="K978" s="2906"/>
      <c r="L978" s="2907"/>
      <c r="M978" s="2907"/>
      <c r="N978" s="2907"/>
      <c r="O978" s="2907"/>
      <c r="P978" s="2908"/>
      <c r="Q978" s="1744"/>
      <c r="R978" s="2215"/>
      <c r="S978" s="1744"/>
      <c r="T978" s="1145"/>
      <c r="U978" s="965"/>
      <c r="V978" s="965"/>
      <c r="W978" s="965"/>
      <c r="X978" s="53" t="e">
        <f>SUM(#REF!)</f>
        <v>#REF!</v>
      </c>
      <c r="Y978" s="679"/>
      <c r="Z978" s="679"/>
      <c r="AA978" s="679"/>
      <c r="AB978" s="679"/>
      <c r="AC978" s="679"/>
      <c r="AD978" s="50">
        <v>50000</v>
      </c>
      <c r="AE978" s="46"/>
      <c r="AF978" s="47"/>
      <c r="AG978" s="53">
        <f t="shared" si="49"/>
        <v>50000</v>
      </c>
      <c r="AH978" s="17"/>
    </row>
    <row r="979" spans="8:34" hidden="1">
      <c r="H979" s="2903"/>
      <c r="I979" s="2903"/>
      <c r="J979" s="2903"/>
      <c r="K979" s="2903"/>
      <c r="L979" s="2904"/>
      <c r="M979" s="2904"/>
      <c r="N979" s="2904"/>
      <c r="O979" s="2904"/>
      <c r="P979" s="2905"/>
      <c r="Q979" s="1743"/>
      <c r="R979" s="2214"/>
      <c r="S979" s="1743"/>
      <c r="T979" s="1144"/>
      <c r="U979" s="705"/>
      <c r="V979" s="705"/>
      <c r="W979" s="705"/>
      <c r="X979" s="53" t="e">
        <f>SUM(#REF!)</f>
        <v>#REF!</v>
      </c>
      <c r="Y979" s="679"/>
      <c r="Z979" s="679"/>
      <c r="AA979" s="679"/>
      <c r="AB979" s="679"/>
      <c r="AC979" s="679"/>
      <c r="AD979" s="50">
        <v>28000</v>
      </c>
      <c r="AE979" s="42"/>
      <c r="AF979" s="43"/>
      <c r="AG979" s="53">
        <f t="shared" si="49"/>
        <v>28000</v>
      </c>
      <c r="AH979" s="17"/>
    </row>
    <row r="980" spans="8:34" hidden="1">
      <c r="H980" s="2909"/>
      <c r="I980" s="2909"/>
      <c r="J980" s="2909"/>
      <c r="K980" s="2909"/>
      <c r="L980" s="2910"/>
      <c r="M980" s="2910"/>
      <c r="N980" s="2910"/>
      <c r="O980" s="2910"/>
      <c r="P980" s="2911"/>
      <c r="Q980" s="1260"/>
      <c r="R980" s="2216"/>
      <c r="S980" s="1260"/>
      <c r="T980" s="446"/>
      <c r="U980" s="70"/>
      <c r="V980" s="70"/>
      <c r="W980" s="70"/>
      <c r="X980" s="70" t="e">
        <f>SUM(#REF!)</f>
        <v>#REF!</v>
      </c>
      <c r="Y980" s="446"/>
      <c r="Z980" s="446"/>
      <c r="AA980" s="446"/>
      <c r="AB980" s="446"/>
      <c r="AC980" s="446"/>
      <c r="AD980" s="59">
        <f>SUM(AD981:AD983)</f>
        <v>7200</v>
      </c>
      <c r="AE980" s="55">
        <f>SUM(AE981:AE983)</f>
        <v>0</v>
      </c>
      <c r="AF980" s="56">
        <f>SUM(AF981:AF983)</f>
        <v>0</v>
      </c>
      <c r="AG980" s="70">
        <f t="shared" si="49"/>
        <v>7200</v>
      </c>
      <c r="AH980" s="17"/>
    </row>
    <row r="981" spans="8:34" hidden="1">
      <c r="H981" s="2906"/>
      <c r="I981" s="2906"/>
      <c r="J981" s="2906"/>
      <c r="K981" s="2906"/>
      <c r="L981" s="2907"/>
      <c r="M981" s="2907"/>
      <c r="N981" s="2907"/>
      <c r="O981" s="2907"/>
      <c r="P981" s="2908"/>
      <c r="Q981" s="1744"/>
      <c r="R981" s="2215"/>
      <c r="S981" s="1744"/>
      <c r="T981" s="1145"/>
      <c r="U981" s="965"/>
      <c r="V981" s="965"/>
      <c r="W981" s="965"/>
      <c r="X981" s="53" t="e">
        <f>SUM(#REF!)</f>
        <v>#REF!</v>
      </c>
      <c r="Y981" s="679"/>
      <c r="Z981" s="679"/>
      <c r="AA981" s="679"/>
      <c r="AB981" s="679"/>
      <c r="AC981" s="679"/>
      <c r="AD981" s="52">
        <v>1300</v>
      </c>
      <c r="AE981" s="46"/>
      <c r="AF981" s="47"/>
      <c r="AG981" s="53">
        <f t="shared" si="49"/>
        <v>1300</v>
      </c>
      <c r="AH981" s="17"/>
    </row>
    <row r="982" spans="8:34" hidden="1">
      <c r="H982" s="2906"/>
      <c r="I982" s="2906"/>
      <c r="J982" s="2906"/>
      <c r="K982" s="2906"/>
      <c r="L982" s="2907"/>
      <c r="M982" s="2907"/>
      <c r="N982" s="2907"/>
      <c r="O982" s="2907"/>
      <c r="P982" s="2908"/>
      <c r="Q982" s="1744"/>
      <c r="R982" s="2215"/>
      <c r="S982" s="1744"/>
      <c r="T982" s="1145"/>
      <c r="U982" s="965"/>
      <c r="V982" s="965"/>
      <c r="W982" s="965"/>
      <c r="X982" s="53" t="e">
        <f>SUM(#REF!)</f>
        <v>#REF!</v>
      </c>
      <c r="Y982" s="679"/>
      <c r="Z982" s="679"/>
      <c r="AA982" s="679"/>
      <c r="AB982" s="679"/>
      <c r="AC982" s="679"/>
      <c r="AD982" s="52">
        <v>4900</v>
      </c>
      <c r="AE982" s="46"/>
      <c r="AF982" s="47"/>
      <c r="AG982" s="53">
        <f t="shared" si="49"/>
        <v>4900</v>
      </c>
      <c r="AH982" s="17"/>
    </row>
    <row r="983" spans="8:34" hidden="1">
      <c r="H983" s="2906"/>
      <c r="I983" s="2906"/>
      <c r="J983" s="2906"/>
      <c r="K983" s="2906"/>
      <c r="L983" s="2907"/>
      <c r="M983" s="2907"/>
      <c r="N983" s="2907"/>
      <c r="O983" s="2907"/>
      <c r="P983" s="2908"/>
      <c r="Q983" s="1744"/>
      <c r="R983" s="2215"/>
      <c r="S983" s="1744"/>
      <c r="T983" s="1145"/>
      <c r="U983" s="965"/>
      <c r="V983" s="965"/>
      <c r="W983" s="965"/>
      <c r="X983" s="53" t="e">
        <f>SUM(#REF!)</f>
        <v>#REF!</v>
      </c>
      <c r="Y983" s="679"/>
      <c r="Z983" s="679"/>
      <c r="AA983" s="679"/>
      <c r="AB983" s="679"/>
      <c r="AC983" s="679"/>
      <c r="AD983" s="52">
        <v>1000</v>
      </c>
      <c r="AE983" s="46"/>
      <c r="AF983" s="47"/>
      <c r="AG983" s="53">
        <f t="shared" si="49"/>
        <v>1000</v>
      </c>
      <c r="AH983" s="17"/>
    </row>
    <row r="984" spans="8:34" hidden="1">
      <c r="H984" s="2909"/>
      <c r="I984" s="2909"/>
      <c r="J984" s="2909"/>
      <c r="K984" s="2909"/>
      <c r="L984" s="2910"/>
      <c r="M984" s="2910"/>
      <c r="N984" s="2910"/>
      <c r="O984" s="2910"/>
      <c r="P984" s="2911"/>
      <c r="Q984" s="1260"/>
      <c r="R984" s="2216"/>
      <c r="S984" s="1260"/>
      <c r="T984" s="446"/>
      <c r="U984" s="70"/>
      <c r="V984" s="70"/>
      <c r="W984" s="70"/>
      <c r="X984" s="70" t="e">
        <f>SUM(#REF!)</f>
        <v>#REF!</v>
      </c>
      <c r="Y984" s="446"/>
      <c r="Z984" s="446"/>
      <c r="AA984" s="446"/>
      <c r="AB984" s="446"/>
      <c r="AC984" s="446"/>
      <c r="AD984" s="59">
        <f>AD985</f>
        <v>8000</v>
      </c>
      <c r="AE984" s="55">
        <f>SUM(AE985)</f>
        <v>0</v>
      </c>
      <c r="AF984" s="56">
        <f>SUM(AF985)</f>
        <v>0</v>
      </c>
      <c r="AG984" s="70">
        <f t="shared" si="49"/>
        <v>8000</v>
      </c>
      <c r="AH984" s="17"/>
    </row>
    <row r="985" spans="8:34" hidden="1">
      <c r="H985" s="2930"/>
      <c r="I985" s="2930"/>
      <c r="J985" s="2930"/>
      <c r="K985" s="2930"/>
      <c r="L985" s="2931"/>
      <c r="M985" s="2931"/>
      <c r="N985" s="2931"/>
      <c r="O985" s="2931"/>
      <c r="P985" s="2932"/>
      <c r="Q985" s="1750"/>
      <c r="R985" s="2223"/>
      <c r="S985" s="1750"/>
      <c r="T985" s="500"/>
      <c r="U985" s="967"/>
      <c r="V985" s="967"/>
      <c r="W985" s="967"/>
      <c r="X985" s="53" t="e">
        <f>SUM(#REF!)</f>
        <v>#REF!</v>
      </c>
      <c r="Y985" s="679"/>
      <c r="Z985" s="679"/>
      <c r="AA985" s="679"/>
      <c r="AB985" s="679"/>
      <c r="AC985" s="679"/>
      <c r="AD985" s="52">
        <v>8000</v>
      </c>
      <c r="AE985" s="4"/>
      <c r="AF985" s="23"/>
      <c r="AG985" s="53">
        <f t="shared" si="49"/>
        <v>8000</v>
      </c>
      <c r="AH985" s="17"/>
    </row>
    <row r="986" spans="8:34" hidden="1">
      <c r="H986" s="2909"/>
      <c r="I986" s="2909"/>
      <c r="J986" s="2909"/>
      <c r="K986" s="2909"/>
      <c r="L986" s="2910"/>
      <c r="M986" s="2910"/>
      <c r="N986" s="2910"/>
      <c r="O986" s="2910"/>
      <c r="P986" s="2911"/>
      <c r="Q986" s="1260"/>
      <c r="R986" s="2216"/>
      <c r="S986" s="1260"/>
      <c r="T986" s="446"/>
      <c r="U986" s="70"/>
      <c r="V986" s="70"/>
      <c r="W986" s="70"/>
      <c r="X986" s="70" t="e">
        <f t="shared" ref="X986" si="50">SUM(X987:X991)</f>
        <v>#REF!</v>
      </c>
      <c r="Y986" s="446"/>
      <c r="Z986" s="446"/>
      <c r="AA986" s="446"/>
      <c r="AB986" s="446"/>
      <c r="AC986" s="446"/>
      <c r="AD986" s="59">
        <f t="shared" ref="AD986:AG986" si="51">SUM(AD987:AD991)</f>
        <v>11450</v>
      </c>
      <c r="AE986" s="55">
        <f t="shared" si="51"/>
        <v>0</v>
      </c>
      <c r="AF986" s="56">
        <f t="shared" si="51"/>
        <v>0</v>
      </c>
      <c r="AG986" s="70">
        <f t="shared" si="51"/>
        <v>11450</v>
      </c>
      <c r="AH986" s="17"/>
    </row>
    <row r="987" spans="8:34" hidden="1">
      <c r="H987" s="2912"/>
      <c r="I987" s="2912"/>
      <c r="J987" s="2912"/>
      <c r="K987" s="2912"/>
      <c r="L987" s="2913"/>
      <c r="M987" s="2913"/>
      <c r="N987" s="2913"/>
      <c r="O987" s="2913"/>
      <c r="P987" s="2914"/>
      <c r="Q987" s="1745"/>
      <c r="R987" s="2217"/>
      <c r="S987" s="1745"/>
      <c r="T987" s="1146"/>
      <c r="U987" s="966"/>
      <c r="V987" s="966"/>
      <c r="W987" s="966"/>
      <c r="X987" s="53" t="e">
        <f>SUM(#REF!)</f>
        <v>#REF!</v>
      </c>
      <c r="Y987" s="679"/>
      <c r="Z987" s="679"/>
      <c r="AA987" s="679"/>
      <c r="AB987" s="679"/>
      <c r="AC987" s="679"/>
      <c r="AD987" s="52">
        <v>500</v>
      </c>
      <c r="AE987" s="3"/>
      <c r="AF987" s="24"/>
      <c r="AG987" s="53">
        <f>SUM(AD987:AF987)</f>
        <v>500</v>
      </c>
      <c r="AH987" s="17"/>
    </row>
    <row r="988" spans="8:34" hidden="1">
      <c r="H988" s="2912"/>
      <c r="I988" s="2912"/>
      <c r="J988" s="2912"/>
      <c r="K988" s="2912"/>
      <c r="L988" s="2913"/>
      <c r="M988" s="2913"/>
      <c r="N988" s="2913"/>
      <c r="O988" s="2913"/>
      <c r="P988" s="2914"/>
      <c r="Q988" s="1745"/>
      <c r="R988" s="2217"/>
      <c r="S988" s="1745"/>
      <c r="T988" s="1146"/>
      <c r="U988" s="966"/>
      <c r="V988" s="966"/>
      <c r="W988" s="966"/>
      <c r="X988" s="53" t="e">
        <f>SUM(#REF!)</f>
        <v>#REF!</v>
      </c>
      <c r="Y988" s="679"/>
      <c r="Z988" s="679"/>
      <c r="AA988" s="679"/>
      <c r="AB988" s="679"/>
      <c r="AC988" s="679"/>
      <c r="AD988" s="52">
        <v>1500</v>
      </c>
      <c r="AE988" s="3"/>
      <c r="AF988" s="24"/>
      <c r="AG988" s="53">
        <f>SUM(AD988:AF988)</f>
        <v>1500</v>
      </c>
      <c r="AH988" s="17"/>
    </row>
    <row r="989" spans="8:34" hidden="1">
      <c r="H989" s="2912"/>
      <c r="I989" s="2912"/>
      <c r="J989" s="2912"/>
      <c r="K989" s="2912"/>
      <c r="L989" s="2913"/>
      <c r="M989" s="2913"/>
      <c r="N989" s="2913"/>
      <c r="O989" s="2913"/>
      <c r="P989" s="2914"/>
      <c r="Q989" s="1745"/>
      <c r="R989" s="2217"/>
      <c r="S989" s="1745"/>
      <c r="T989" s="1146"/>
      <c r="U989" s="966"/>
      <c r="V989" s="966"/>
      <c r="W989" s="966"/>
      <c r="X989" s="53" t="e">
        <f>SUM(#REF!)</f>
        <v>#REF!</v>
      </c>
      <c r="Y989" s="679"/>
      <c r="Z989" s="679"/>
      <c r="AA989" s="679"/>
      <c r="AB989" s="679"/>
      <c r="AC989" s="679"/>
      <c r="AD989" s="52">
        <v>3000</v>
      </c>
      <c r="AE989" s="3"/>
      <c r="AF989" s="24"/>
      <c r="AG989" s="53">
        <f>SUM(AD989:AF989)</f>
        <v>3000</v>
      </c>
      <c r="AH989" s="17"/>
    </row>
    <row r="990" spans="8:34" hidden="1">
      <c r="H990" s="2912"/>
      <c r="I990" s="2912"/>
      <c r="J990" s="2912"/>
      <c r="K990" s="2912"/>
      <c r="L990" s="2913"/>
      <c r="M990" s="2913"/>
      <c r="N990" s="2913"/>
      <c r="O990" s="2913"/>
      <c r="P990" s="2914"/>
      <c r="Q990" s="1745"/>
      <c r="R990" s="2217"/>
      <c r="S990" s="1745"/>
      <c r="T990" s="1146"/>
      <c r="U990" s="966"/>
      <c r="V990" s="966"/>
      <c r="W990" s="966"/>
      <c r="X990" s="53" t="e">
        <f>SUM(#REF!)</f>
        <v>#REF!</v>
      </c>
      <c r="Y990" s="679"/>
      <c r="Z990" s="679"/>
      <c r="AA990" s="679"/>
      <c r="AB990" s="679"/>
      <c r="AC990" s="679"/>
      <c r="AD990" s="52">
        <v>1200</v>
      </c>
      <c r="AE990" s="3"/>
      <c r="AF990" s="24"/>
      <c r="AG990" s="53">
        <f>SUM(AD990:AF990)</f>
        <v>1200</v>
      </c>
      <c r="AH990" s="17"/>
    </row>
    <row r="991" spans="8:34" hidden="1">
      <c r="H991" s="2930"/>
      <c r="I991" s="2930"/>
      <c r="J991" s="2930"/>
      <c r="K991" s="2930"/>
      <c r="L991" s="2931"/>
      <c r="M991" s="2931"/>
      <c r="N991" s="2931"/>
      <c r="O991" s="2931"/>
      <c r="P991" s="2932"/>
      <c r="Q991" s="1750"/>
      <c r="R991" s="2223"/>
      <c r="S991" s="1750"/>
      <c r="T991" s="500"/>
      <c r="U991" s="967"/>
      <c r="V991" s="967"/>
      <c r="W991" s="967"/>
      <c r="X991" s="70" t="e">
        <f t="shared" ref="X991" si="52">SUM(X992:X996)</f>
        <v>#REF!</v>
      </c>
      <c r="Y991" s="446"/>
      <c r="Z991" s="446"/>
      <c r="AA991" s="446"/>
      <c r="AB991" s="446"/>
      <c r="AC991" s="446"/>
      <c r="AD991" s="79">
        <f t="shared" ref="AD991:AG991" si="53">SUM(AD992:AD996)</f>
        <v>5250</v>
      </c>
      <c r="AE991" s="4">
        <f t="shared" si="53"/>
        <v>0</v>
      </c>
      <c r="AF991" s="23">
        <f t="shared" si="53"/>
        <v>0</v>
      </c>
      <c r="AG991" s="70">
        <f t="shared" si="53"/>
        <v>5250</v>
      </c>
      <c r="AH991" s="17"/>
    </row>
    <row r="992" spans="8:34" hidden="1">
      <c r="H992" s="2912"/>
      <c r="I992" s="2912"/>
      <c r="J992" s="2912"/>
      <c r="K992" s="2912"/>
      <c r="L992" s="2913"/>
      <c r="M992" s="2913"/>
      <c r="N992" s="2913"/>
      <c r="O992" s="2913"/>
      <c r="P992" s="2914"/>
      <c r="Q992" s="1745"/>
      <c r="R992" s="2217"/>
      <c r="S992" s="1745"/>
      <c r="T992" s="1146"/>
      <c r="U992" s="966"/>
      <c r="V992" s="966"/>
      <c r="W992" s="966"/>
      <c r="X992" s="53" t="e">
        <f>SUM(#REF!)</f>
        <v>#REF!</v>
      </c>
      <c r="Y992" s="679"/>
      <c r="Z992" s="679"/>
      <c r="AA992" s="679"/>
      <c r="AB992" s="679"/>
      <c r="AC992" s="679"/>
      <c r="AD992" s="50">
        <v>1000</v>
      </c>
      <c r="AE992" s="3"/>
      <c r="AF992" s="24"/>
      <c r="AG992" s="53">
        <f>SUM(AD992:AF992)</f>
        <v>1000</v>
      </c>
      <c r="AH992" s="17"/>
    </row>
    <row r="993" spans="8:34" hidden="1">
      <c r="H993" s="2912"/>
      <c r="I993" s="2912"/>
      <c r="J993" s="2912"/>
      <c r="K993" s="2912"/>
      <c r="L993" s="2913"/>
      <c r="M993" s="2913"/>
      <c r="N993" s="2913"/>
      <c r="O993" s="2913"/>
      <c r="P993" s="2914"/>
      <c r="Q993" s="1745"/>
      <c r="R993" s="2217"/>
      <c r="S993" s="1745"/>
      <c r="T993" s="1146"/>
      <c r="U993" s="966"/>
      <c r="V993" s="966"/>
      <c r="W993" s="966"/>
      <c r="X993" s="53" t="e">
        <f>SUM(#REF!)</f>
        <v>#REF!</v>
      </c>
      <c r="Y993" s="679"/>
      <c r="Z993" s="679"/>
      <c r="AA993" s="679"/>
      <c r="AB993" s="679"/>
      <c r="AC993" s="679"/>
      <c r="AD993" s="50">
        <v>3000</v>
      </c>
      <c r="AE993" s="3"/>
      <c r="AF993" s="24"/>
      <c r="AG993" s="53">
        <f>SUM(AD993:AF993)</f>
        <v>3000</v>
      </c>
      <c r="AH993" s="17"/>
    </row>
    <row r="994" spans="8:34" hidden="1">
      <c r="H994" s="2912"/>
      <c r="I994" s="2912"/>
      <c r="J994" s="2912"/>
      <c r="K994" s="2912"/>
      <c r="L994" s="2913"/>
      <c r="M994" s="2913"/>
      <c r="N994" s="2913"/>
      <c r="O994" s="2913"/>
      <c r="P994" s="2914"/>
      <c r="Q994" s="1745"/>
      <c r="R994" s="2217"/>
      <c r="S994" s="1745"/>
      <c r="T994" s="1146"/>
      <c r="U994" s="966"/>
      <c r="V994" s="966"/>
      <c r="W994" s="966"/>
      <c r="X994" s="53" t="e">
        <f>SUM(#REF!)</f>
        <v>#REF!</v>
      </c>
      <c r="Y994" s="679"/>
      <c r="Z994" s="679"/>
      <c r="AA994" s="679"/>
      <c r="AB994" s="679"/>
      <c r="AC994" s="679"/>
      <c r="AD994" s="50"/>
      <c r="AE994" s="3"/>
      <c r="AF994" s="24"/>
      <c r="AG994" s="53">
        <f>SUM(AD994:AF994)</f>
        <v>0</v>
      </c>
      <c r="AH994" s="17"/>
    </row>
    <row r="995" spans="8:34" hidden="1">
      <c r="H995" s="2930"/>
      <c r="I995" s="2930"/>
      <c r="J995" s="2930"/>
      <c r="K995" s="2930"/>
      <c r="L995" s="2931"/>
      <c r="M995" s="2931"/>
      <c r="N995" s="2931"/>
      <c r="O995" s="2931"/>
      <c r="P995" s="2932"/>
      <c r="Q995" s="1750"/>
      <c r="R995" s="2223"/>
      <c r="S995" s="1750"/>
      <c r="T995" s="500"/>
      <c r="U995" s="967"/>
      <c r="V995" s="967"/>
      <c r="W995" s="967"/>
      <c r="X995" s="53" t="e">
        <f>SUM(#REF!)</f>
        <v>#REF!</v>
      </c>
      <c r="Y995" s="679"/>
      <c r="Z995" s="679"/>
      <c r="AA995" s="679"/>
      <c r="AB995" s="679"/>
      <c r="AC995" s="679"/>
      <c r="AD995" s="60">
        <v>250</v>
      </c>
      <c r="AE995" s="4"/>
      <c r="AF995" s="23"/>
      <c r="AG995" s="53">
        <f>SUM(AD995:AF995)</f>
        <v>250</v>
      </c>
      <c r="AH995" s="17"/>
    </row>
    <row r="996" spans="8:34" hidden="1">
      <c r="H996" s="2912"/>
      <c r="I996" s="2912"/>
      <c r="J996" s="2912"/>
      <c r="K996" s="2912"/>
      <c r="L996" s="2913"/>
      <c r="M996" s="2913"/>
      <c r="N996" s="2913"/>
      <c r="O996" s="2913"/>
      <c r="P996" s="2914"/>
      <c r="Q996" s="1745"/>
      <c r="R996" s="2217"/>
      <c r="S996" s="1745"/>
      <c r="T996" s="1146"/>
      <c r="U996" s="966"/>
      <c r="V996" s="966"/>
      <c r="W996" s="966"/>
      <c r="X996" s="53" t="e">
        <f>SUM(#REF!)</f>
        <v>#REF!</v>
      </c>
      <c r="Y996" s="679"/>
      <c r="Z996" s="679"/>
      <c r="AA996" s="679"/>
      <c r="AB996" s="679"/>
      <c r="AC996" s="679"/>
      <c r="AD996" s="50">
        <v>1000</v>
      </c>
      <c r="AE996" s="3"/>
      <c r="AF996" s="24"/>
      <c r="AG996" s="53">
        <f>SUM(AD996:AF996)</f>
        <v>1000</v>
      </c>
      <c r="AH996" s="17"/>
    </row>
    <row r="997" spans="8:34" hidden="1">
      <c r="H997" s="2903"/>
      <c r="I997" s="2903"/>
      <c r="J997" s="2903"/>
      <c r="K997" s="2903"/>
      <c r="L997" s="2904"/>
      <c r="M997" s="2904"/>
      <c r="N997" s="2904"/>
      <c r="O997" s="2904"/>
      <c r="P997" s="2905"/>
      <c r="Q997" s="1743"/>
      <c r="R997" s="2214"/>
      <c r="S997" s="1743"/>
      <c r="T997" s="1144"/>
      <c r="U997" s="705"/>
      <c r="V997" s="705"/>
      <c r="W997" s="705"/>
      <c r="X997" s="70" t="e">
        <f>SUM(X998)</f>
        <v>#REF!</v>
      </c>
      <c r="Y997" s="446"/>
      <c r="Z997" s="446"/>
      <c r="AA997" s="446"/>
      <c r="AB997" s="446"/>
      <c r="AC997" s="446"/>
      <c r="AD997" s="45">
        <f t="shared" ref="AD997:AF997" si="54">SUM(AD998)</f>
        <v>0</v>
      </c>
      <c r="AE997" s="42">
        <f t="shared" si="54"/>
        <v>0</v>
      </c>
      <c r="AF997" s="43">
        <f t="shared" si="54"/>
        <v>0</v>
      </c>
      <c r="AG997" s="70">
        <f>SUM(AG998)</f>
        <v>0</v>
      </c>
      <c r="AH997" s="17"/>
    </row>
    <row r="998" spans="8:34" hidden="1">
      <c r="H998" s="2912"/>
      <c r="I998" s="2912"/>
      <c r="J998" s="2912"/>
      <c r="K998" s="2912"/>
      <c r="L998" s="2913"/>
      <c r="M998" s="2913"/>
      <c r="N998" s="2913"/>
      <c r="O998" s="2913"/>
      <c r="P998" s="2914"/>
      <c r="Q998" s="1745"/>
      <c r="R998" s="2217"/>
      <c r="S998" s="1745"/>
      <c r="T998" s="1146"/>
      <c r="U998" s="966"/>
      <c r="V998" s="966"/>
      <c r="W998" s="966"/>
      <c r="X998" s="53" t="e">
        <f>SUM(#REF!)</f>
        <v>#REF!</v>
      </c>
      <c r="Y998" s="679"/>
      <c r="Z998" s="679"/>
      <c r="AA998" s="679"/>
      <c r="AB998" s="679"/>
      <c r="AC998" s="679"/>
      <c r="AD998" s="52"/>
      <c r="AE998" s="3"/>
      <c r="AF998" s="24"/>
      <c r="AG998" s="53">
        <f>SUM(AD998:AF998)</f>
        <v>0</v>
      </c>
      <c r="AH998" s="17"/>
    </row>
    <row r="999" spans="8:34" hidden="1">
      <c r="H999" s="2927"/>
      <c r="I999" s="2927"/>
      <c r="J999" s="2927"/>
      <c r="K999" s="2927"/>
      <c r="L999" s="2928"/>
      <c r="M999" s="2928"/>
      <c r="N999" s="2928"/>
      <c r="O999" s="2928"/>
      <c r="P999" s="2929"/>
      <c r="Q999" s="1749"/>
      <c r="R999" s="2222"/>
      <c r="S999" s="1749"/>
      <c r="T999" s="575"/>
      <c r="U999" s="19"/>
      <c r="V999" s="19"/>
      <c r="W999" s="19"/>
      <c r="X999" s="70"/>
      <c r="Y999" s="446"/>
      <c r="Z999" s="446"/>
      <c r="AA999" s="446"/>
      <c r="AB999" s="446"/>
      <c r="AC999" s="446"/>
      <c r="AD999" s="78"/>
      <c r="AE999" s="76"/>
      <c r="AF999" s="77"/>
      <c r="AG999" s="70"/>
      <c r="AH999" s="17"/>
    </row>
    <row r="1000" spans="8:34" hidden="1">
      <c r="H1000" s="2921"/>
      <c r="I1000" s="2921"/>
      <c r="J1000" s="2921"/>
      <c r="K1000" s="2921"/>
      <c r="L1000" s="2922"/>
      <c r="M1000" s="2922"/>
      <c r="N1000" s="2922"/>
      <c r="O1000" s="2922"/>
      <c r="P1000" s="2923"/>
      <c r="Q1000" s="1511"/>
      <c r="R1000" s="2220"/>
      <c r="S1000" s="1511"/>
      <c r="T1000" s="572"/>
      <c r="U1000" s="12"/>
      <c r="V1000" s="12"/>
      <c r="W1000" s="12"/>
      <c r="X1000" s="12" t="e">
        <f>SUM(X1002)</f>
        <v>#REF!</v>
      </c>
      <c r="Y1000" s="572"/>
      <c r="Z1000" s="572"/>
      <c r="AA1000" s="572"/>
      <c r="AB1000" s="572"/>
      <c r="AC1000" s="572"/>
      <c r="AD1000" s="69">
        <f>SUM(AD1002)</f>
        <v>79950</v>
      </c>
      <c r="AE1000" s="5">
        <f>SUM(AE1012)</f>
        <v>0</v>
      </c>
      <c r="AF1000" s="22">
        <f>SUM(AF1012)</f>
        <v>0</v>
      </c>
      <c r="AG1000" s="12">
        <f>SUM(AG1002)</f>
        <v>79950</v>
      </c>
      <c r="AH1000" s="41" t="e">
        <f>AG1000/X1000*100</f>
        <v>#REF!</v>
      </c>
    </row>
    <row r="1001" spans="8:34" hidden="1">
      <c r="H1001" s="2921"/>
      <c r="I1001" s="2921"/>
      <c r="J1001" s="2921"/>
      <c r="K1001" s="2921"/>
      <c r="L1001" s="2922"/>
      <c r="M1001" s="2922"/>
      <c r="N1001" s="2922"/>
      <c r="O1001" s="2922"/>
      <c r="P1001" s="2923"/>
      <c r="Q1001" s="1511"/>
      <c r="R1001" s="2220"/>
      <c r="S1001" s="1511"/>
      <c r="T1001" s="572"/>
      <c r="U1001" s="12"/>
      <c r="V1001" s="12"/>
      <c r="W1001" s="12"/>
      <c r="X1001" s="12"/>
      <c r="Y1001" s="572"/>
      <c r="Z1001" s="572"/>
      <c r="AA1001" s="572"/>
      <c r="AB1001" s="572"/>
      <c r="AC1001" s="572"/>
      <c r="AD1001" s="69"/>
      <c r="AE1001" s="5"/>
      <c r="AF1001" s="22"/>
      <c r="AG1001" s="12"/>
      <c r="AH1001" s="41"/>
    </row>
    <row r="1002" spans="8:34" hidden="1">
      <c r="H1002" s="2903"/>
      <c r="I1002" s="2903"/>
      <c r="J1002" s="2903"/>
      <c r="K1002" s="2903"/>
      <c r="L1002" s="2904"/>
      <c r="M1002" s="2904"/>
      <c r="N1002" s="2904"/>
      <c r="O1002" s="2904"/>
      <c r="P1002" s="2905"/>
      <c r="Q1002" s="1743"/>
      <c r="R1002" s="2214"/>
      <c r="S1002" s="1743"/>
      <c r="T1002" s="1144"/>
      <c r="U1002" s="705"/>
      <c r="V1002" s="705"/>
      <c r="W1002" s="705"/>
      <c r="X1002" s="70" t="e">
        <f>SUM(X1003,X1011,X1013,X1024)</f>
        <v>#REF!</v>
      </c>
      <c r="Y1002" s="446"/>
      <c r="Z1002" s="446"/>
      <c r="AA1002" s="446"/>
      <c r="AB1002" s="446"/>
      <c r="AC1002" s="446"/>
      <c r="AD1002" s="45">
        <f>SUM(AD1003,AD1011,AD1013,AD1024)</f>
        <v>79950</v>
      </c>
      <c r="AE1002" s="42"/>
      <c r="AF1002" s="43"/>
      <c r="AG1002" s="70">
        <f>SUM(AG1003,AG1011,AG1013,AG1024)</f>
        <v>79950</v>
      </c>
      <c r="AH1002" s="17" t="e">
        <f t="shared" ref="AH1002:AH1026" si="55">AG1002/X1002*100</f>
        <v>#REF!</v>
      </c>
    </row>
    <row r="1003" spans="8:34" hidden="1">
      <c r="H1003" s="2903"/>
      <c r="I1003" s="2903"/>
      <c r="J1003" s="2903"/>
      <c r="K1003" s="2903"/>
      <c r="L1003" s="2904"/>
      <c r="M1003" s="2904"/>
      <c r="N1003" s="2904"/>
      <c r="O1003" s="2904"/>
      <c r="P1003" s="2905"/>
      <c r="Q1003" s="1743"/>
      <c r="R1003" s="2214"/>
      <c r="S1003" s="1743"/>
      <c r="T1003" s="1144"/>
      <c r="U1003" s="705"/>
      <c r="V1003" s="705"/>
      <c r="W1003" s="705"/>
      <c r="X1003" s="70" t="e">
        <f>SUM(X1004,X1007)</f>
        <v>#REF!</v>
      </c>
      <c r="Y1003" s="446"/>
      <c r="Z1003" s="446"/>
      <c r="AA1003" s="446"/>
      <c r="AB1003" s="446"/>
      <c r="AC1003" s="446"/>
      <c r="AD1003" s="45">
        <f>SUM(AD1004,AD1007)</f>
        <v>54800</v>
      </c>
      <c r="AE1003" s="42">
        <f>SUM(AE1004:AE1005)</f>
        <v>0</v>
      </c>
      <c r="AF1003" s="43">
        <f>SUM(AF1004:AF1005)</f>
        <v>0</v>
      </c>
      <c r="AG1003" s="70">
        <f>SUM(AG1004,AG1007)</f>
        <v>54800</v>
      </c>
      <c r="AH1003" s="17" t="e">
        <f t="shared" si="55"/>
        <v>#REF!</v>
      </c>
    </row>
    <row r="1004" spans="8:34" hidden="1">
      <c r="H1004" s="2903"/>
      <c r="I1004" s="2903"/>
      <c r="J1004" s="2903"/>
      <c r="K1004" s="2903"/>
      <c r="L1004" s="2904"/>
      <c r="M1004" s="2904"/>
      <c r="N1004" s="2904"/>
      <c r="O1004" s="2904"/>
      <c r="P1004" s="2905"/>
      <c r="Q1004" s="1743"/>
      <c r="R1004" s="2214"/>
      <c r="S1004" s="1743"/>
      <c r="T1004" s="1144"/>
      <c r="U1004" s="705"/>
      <c r="V1004" s="705"/>
      <c r="W1004" s="705"/>
      <c r="X1004" s="70" t="e">
        <f>SUM(#REF!)</f>
        <v>#REF!</v>
      </c>
      <c r="Y1004" s="446"/>
      <c r="Z1004" s="446"/>
      <c r="AA1004" s="446"/>
      <c r="AB1004" s="446"/>
      <c r="AC1004" s="446"/>
      <c r="AD1004" s="45">
        <f>SUM(AD1005:AD1006)</f>
        <v>47000</v>
      </c>
      <c r="AE1004" s="42">
        <f>SUM(AE1005:AE1006)</f>
        <v>0</v>
      </c>
      <c r="AF1004" s="43">
        <f>SUM(AF1005:AF1006)</f>
        <v>0</v>
      </c>
      <c r="AG1004" s="70">
        <f t="shared" ref="AG1004:AG1012" si="56">SUM(AD1004:AF1004)</f>
        <v>47000</v>
      </c>
      <c r="AH1004" s="17" t="e">
        <f t="shared" si="55"/>
        <v>#REF!</v>
      </c>
    </row>
    <row r="1005" spans="8:34" hidden="1">
      <c r="H1005" s="2906"/>
      <c r="I1005" s="2906"/>
      <c r="J1005" s="2906"/>
      <c r="K1005" s="2906"/>
      <c r="L1005" s="2907"/>
      <c r="M1005" s="2907"/>
      <c r="N1005" s="2907"/>
      <c r="O1005" s="2907"/>
      <c r="P1005" s="2908"/>
      <c r="Q1005" s="1744"/>
      <c r="R1005" s="2215"/>
      <c r="S1005" s="1744"/>
      <c r="T1005" s="1145"/>
      <c r="U1005" s="965"/>
      <c r="V1005" s="965"/>
      <c r="W1005" s="965"/>
      <c r="X1005" s="53" t="e">
        <f>SUM(#REF!)</f>
        <v>#REF!</v>
      </c>
      <c r="Y1005" s="679"/>
      <c r="Z1005" s="679"/>
      <c r="AA1005" s="679"/>
      <c r="AB1005" s="679"/>
      <c r="AC1005" s="679"/>
      <c r="AD1005" s="50">
        <v>30000</v>
      </c>
      <c r="AE1005" s="46"/>
      <c r="AF1005" s="47"/>
      <c r="AG1005" s="53">
        <f t="shared" si="56"/>
        <v>30000</v>
      </c>
      <c r="AH1005" s="17" t="e">
        <f t="shared" si="55"/>
        <v>#REF!</v>
      </c>
    </row>
    <row r="1006" spans="8:34" hidden="1">
      <c r="H1006" s="2903"/>
      <c r="I1006" s="2903"/>
      <c r="J1006" s="2903"/>
      <c r="K1006" s="2903"/>
      <c r="L1006" s="2904"/>
      <c r="M1006" s="2904"/>
      <c r="N1006" s="2904"/>
      <c r="O1006" s="2904"/>
      <c r="P1006" s="2905"/>
      <c r="Q1006" s="1743"/>
      <c r="R1006" s="2214"/>
      <c r="S1006" s="1743"/>
      <c r="T1006" s="1144"/>
      <c r="U1006" s="705"/>
      <c r="V1006" s="705"/>
      <c r="W1006" s="705"/>
      <c r="X1006" s="53" t="e">
        <f>SUM(#REF!)</f>
        <v>#REF!</v>
      </c>
      <c r="Y1006" s="679"/>
      <c r="Z1006" s="679"/>
      <c r="AA1006" s="679"/>
      <c r="AB1006" s="679"/>
      <c r="AC1006" s="679"/>
      <c r="AD1006" s="50">
        <v>17000</v>
      </c>
      <c r="AE1006" s="42"/>
      <c r="AF1006" s="43"/>
      <c r="AG1006" s="53">
        <f t="shared" si="56"/>
        <v>17000</v>
      </c>
      <c r="AH1006" s="17" t="e">
        <f t="shared" si="55"/>
        <v>#REF!</v>
      </c>
    </row>
    <row r="1007" spans="8:34" hidden="1">
      <c r="H1007" s="2909"/>
      <c r="I1007" s="2909"/>
      <c r="J1007" s="2909"/>
      <c r="K1007" s="2909"/>
      <c r="L1007" s="2910"/>
      <c r="M1007" s="2910"/>
      <c r="N1007" s="2910"/>
      <c r="O1007" s="2910"/>
      <c r="P1007" s="2911"/>
      <c r="Q1007" s="1260"/>
      <c r="R1007" s="2216"/>
      <c r="S1007" s="1260"/>
      <c r="T1007" s="446"/>
      <c r="U1007" s="70"/>
      <c r="V1007" s="70"/>
      <c r="W1007" s="70"/>
      <c r="X1007" s="70" t="e">
        <f>SUM(#REF!)</f>
        <v>#REF!</v>
      </c>
      <c r="Y1007" s="446"/>
      <c r="Z1007" s="446"/>
      <c r="AA1007" s="446"/>
      <c r="AB1007" s="446"/>
      <c r="AC1007" s="446"/>
      <c r="AD1007" s="59">
        <f>SUM(AD1008:AD1010)</f>
        <v>7800</v>
      </c>
      <c r="AE1007" s="55">
        <f>SUM(AE1008:AE1010)</f>
        <v>0</v>
      </c>
      <c r="AF1007" s="56">
        <f>SUM(AF1008:AF1010)</f>
        <v>0</v>
      </c>
      <c r="AG1007" s="70">
        <f t="shared" si="56"/>
        <v>7800</v>
      </c>
      <c r="AH1007" s="17" t="e">
        <f t="shared" si="55"/>
        <v>#REF!</v>
      </c>
    </row>
    <row r="1008" spans="8:34" hidden="1">
      <c r="H1008" s="2906"/>
      <c r="I1008" s="2906"/>
      <c r="J1008" s="2906"/>
      <c r="K1008" s="2906"/>
      <c r="L1008" s="2907"/>
      <c r="M1008" s="2907"/>
      <c r="N1008" s="2907"/>
      <c r="O1008" s="2907"/>
      <c r="P1008" s="2908"/>
      <c r="Q1008" s="1744"/>
      <c r="R1008" s="2215"/>
      <c r="S1008" s="1744"/>
      <c r="T1008" s="1145"/>
      <c r="U1008" s="965"/>
      <c r="V1008" s="965"/>
      <c r="W1008" s="965"/>
      <c r="X1008" s="53" t="e">
        <f>SUM(#REF!)</f>
        <v>#REF!</v>
      </c>
      <c r="Y1008" s="679"/>
      <c r="Z1008" s="679"/>
      <c r="AA1008" s="679"/>
      <c r="AB1008" s="679"/>
      <c r="AC1008" s="679"/>
      <c r="AD1008" s="52">
        <v>300</v>
      </c>
      <c r="AE1008" s="46"/>
      <c r="AF1008" s="47"/>
      <c r="AG1008" s="53">
        <f t="shared" si="56"/>
        <v>300</v>
      </c>
      <c r="AH1008" s="17" t="e">
        <f t="shared" si="55"/>
        <v>#REF!</v>
      </c>
    </row>
    <row r="1009" spans="8:34" hidden="1">
      <c r="H1009" s="2906"/>
      <c r="I1009" s="2906"/>
      <c r="J1009" s="2906"/>
      <c r="K1009" s="2906"/>
      <c r="L1009" s="2907"/>
      <c r="M1009" s="2907"/>
      <c r="N1009" s="2907"/>
      <c r="O1009" s="2907"/>
      <c r="P1009" s="2908"/>
      <c r="Q1009" s="1744"/>
      <c r="R1009" s="2215"/>
      <c r="S1009" s="1744"/>
      <c r="T1009" s="1145"/>
      <c r="U1009" s="965"/>
      <c r="V1009" s="965"/>
      <c r="W1009" s="965"/>
      <c r="X1009" s="53" t="e">
        <f>SUM(#REF!)</f>
        <v>#REF!</v>
      </c>
      <c r="Y1009" s="679"/>
      <c r="Z1009" s="679"/>
      <c r="AA1009" s="679"/>
      <c r="AB1009" s="679"/>
      <c r="AC1009" s="679"/>
      <c r="AD1009" s="52">
        <v>6000</v>
      </c>
      <c r="AE1009" s="46"/>
      <c r="AF1009" s="47"/>
      <c r="AG1009" s="53">
        <f t="shared" si="56"/>
        <v>6000</v>
      </c>
      <c r="AH1009" s="17" t="e">
        <f t="shared" si="55"/>
        <v>#REF!</v>
      </c>
    </row>
    <row r="1010" spans="8:34" hidden="1">
      <c r="H1010" s="2906"/>
      <c r="I1010" s="2906"/>
      <c r="J1010" s="2906"/>
      <c r="K1010" s="2906"/>
      <c r="L1010" s="2907"/>
      <c r="M1010" s="2907"/>
      <c r="N1010" s="2907"/>
      <c r="O1010" s="2907"/>
      <c r="P1010" s="2908"/>
      <c r="Q1010" s="1744"/>
      <c r="R1010" s="2215"/>
      <c r="S1010" s="1744"/>
      <c r="T1010" s="1145"/>
      <c r="U1010" s="965"/>
      <c r="V1010" s="965"/>
      <c r="W1010" s="965"/>
      <c r="X1010" s="53" t="e">
        <f>SUM(#REF!)</f>
        <v>#REF!</v>
      </c>
      <c r="Y1010" s="679"/>
      <c r="Z1010" s="679"/>
      <c r="AA1010" s="679"/>
      <c r="AB1010" s="679"/>
      <c r="AC1010" s="679"/>
      <c r="AD1010" s="52">
        <v>1500</v>
      </c>
      <c r="AE1010" s="46"/>
      <c r="AF1010" s="47"/>
      <c r="AG1010" s="53">
        <f t="shared" si="56"/>
        <v>1500</v>
      </c>
      <c r="AH1010" s="17" t="e">
        <f t="shared" si="55"/>
        <v>#REF!</v>
      </c>
    </row>
    <row r="1011" spans="8:34" hidden="1">
      <c r="H1011" s="2909"/>
      <c r="I1011" s="2909"/>
      <c r="J1011" s="2909"/>
      <c r="K1011" s="2909"/>
      <c r="L1011" s="2910"/>
      <c r="M1011" s="2910"/>
      <c r="N1011" s="2910"/>
      <c r="O1011" s="2910"/>
      <c r="P1011" s="2911"/>
      <c r="Q1011" s="1260"/>
      <c r="R1011" s="2216"/>
      <c r="S1011" s="1260"/>
      <c r="T1011" s="446"/>
      <c r="U1011" s="70"/>
      <c r="V1011" s="70"/>
      <c r="W1011" s="70"/>
      <c r="X1011" s="70" t="e">
        <f>SUM(#REF!)</f>
        <v>#REF!</v>
      </c>
      <c r="Y1011" s="446"/>
      <c r="Z1011" s="446"/>
      <c r="AA1011" s="446"/>
      <c r="AB1011" s="446"/>
      <c r="AC1011" s="446"/>
      <c r="AD1011" s="59">
        <f>AD1012</f>
        <v>12000</v>
      </c>
      <c r="AE1011" s="55">
        <f>SUM(AE1012)</f>
        <v>0</v>
      </c>
      <c r="AF1011" s="56">
        <f>SUM(AF1012)</f>
        <v>0</v>
      </c>
      <c r="AG1011" s="70">
        <f t="shared" si="56"/>
        <v>12000</v>
      </c>
      <c r="AH1011" s="17" t="e">
        <f t="shared" si="55"/>
        <v>#REF!</v>
      </c>
    </row>
    <row r="1012" spans="8:34" hidden="1">
      <c r="H1012" s="2930"/>
      <c r="I1012" s="2930"/>
      <c r="J1012" s="2930"/>
      <c r="K1012" s="2930"/>
      <c r="L1012" s="2931"/>
      <c r="M1012" s="2931"/>
      <c r="N1012" s="2931"/>
      <c r="O1012" s="2931"/>
      <c r="P1012" s="2932"/>
      <c r="Q1012" s="1750"/>
      <c r="R1012" s="2223"/>
      <c r="S1012" s="1750"/>
      <c r="T1012" s="500"/>
      <c r="U1012" s="967"/>
      <c r="V1012" s="967"/>
      <c r="W1012" s="967"/>
      <c r="X1012" s="53" t="e">
        <f>SUM(#REF!)</f>
        <v>#REF!</v>
      </c>
      <c r="Y1012" s="679"/>
      <c r="Z1012" s="679"/>
      <c r="AA1012" s="679"/>
      <c r="AB1012" s="679"/>
      <c r="AC1012" s="679"/>
      <c r="AD1012" s="52">
        <v>12000</v>
      </c>
      <c r="AE1012" s="4"/>
      <c r="AF1012" s="23"/>
      <c r="AG1012" s="53">
        <f t="shared" si="56"/>
        <v>12000</v>
      </c>
      <c r="AH1012" s="17" t="e">
        <f t="shared" si="55"/>
        <v>#REF!</v>
      </c>
    </row>
    <row r="1013" spans="8:34" hidden="1">
      <c r="H1013" s="2909"/>
      <c r="I1013" s="2909"/>
      <c r="J1013" s="2909"/>
      <c r="K1013" s="2909"/>
      <c r="L1013" s="2910"/>
      <c r="M1013" s="2910"/>
      <c r="N1013" s="2910"/>
      <c r="O1013" s="2910"/>
      <c r="P1013" s="2911"/>
      <c r="Q1013" s="1260"/>
      <c r="R1013" s="2216"/>
      <c r="S1013" s="1260"/>
      <c r="T1013" s="446"/>
      <c r="U1013" s="70"/>
      <c r="V1013" s="70"/>
      <c r="W1013" s="70"/>
      <c r="X1013" s="70" t="e">
        <f t="shared" ref="X1013:AG1013" si="57">SUM(X1014:X1018)</f>
        <v>#REF!</v>
      </c>
      <c r="Y1013" s="446"/>
      <c r="Z1013" s="446"/>
      <c r="AA1013" s="446"/>
      <c r="AB1013" s="446"/>
      <c r="AC1013" s="446"/>
      <c r="AD1013" s="59">
        <f t="shared" si="57"/>
        <v>13150</v>
      </c>
      <c r="AE1013" s="55">
        <f t="shared" si="57"/>
        <v>0</v>
      </c>
      <c r="AF1013" s="56">
        <f t="shared" si="57"/>
        <v>0</v>
      </c>
      <c r="AG1013" s="70">
        <f t="shared" si="57"/>
        <v>13150</v>
      </c>
      <c r="AH1013" s="17" t="e">
        <f t="shared" si="55"/>
        <v>#REF!</v>
      </c>
    </row>
    <row r="1014" spans="8:34" hidden="1">
      <c r="H1014" s="2912"/>
      <c r="I1014" s="2912"/>
      <c r="J1014" s="2912"/>
      <c r="K1014" s="2912"/>
      <c r="L1014" s="2913"/>
      <c r="M1014" s="2913"/>
      <c r="N1014" s="2913"/>
      <c r="O1014" s="2913"/>
      <c r="P1014" s="2914"/>
      <c r="Q1014" s="1745"/>
      <c r="R1014" s="2217"/>
      <c r="S1014" s="1745"/>
      <c r="T1014" s="1146"/>
      <c r="U1014" s="966"/>
      <c r="V1014" s="966"/>
      <c r="W1014" s="966"/>
      <c r="X1014" s="53" t="e">
        <f>SUM(#REF!)</f>
        <v>#REF!</v>
      </c>
      <c r="Y1014" s="679"/>
      <c r="Z1014" s="679"/>
      <c r="AA1014" s="679"/>
      <c r="AB1014" s="679"/>
      <c r="AC1014" s="679"/>
      <c r="AD1014" s="52">
        <v>1000</v>
      </c>
      <c r="AE1014" s="3"/>
      <c r="AF1014" s="24"/>
      <c r="AG1014" s="53">
        <f>SUM(AD1014:AF1014)</f>
        <v>1000</v>
      </c>
      <c r="AH1014" s="17" t="e">
        <f t="shared" si="55"/>
        <v>#REF!</v>
      </c>
    </row>
    <row r="1015" spans="8:34" hidden="1">
      <c r="H1015" s="2912"/>
      <c r="I1015" s="2912"/>
      <c r="J1015" s="2912"/>
      <c r="K1015" s="2912"/>
      <c r="L1015" s="2913"/>
      <c r="M1015" s="2913"/>
      <c r="N1015" s="2913"/>
      <c r="O1015" s="2913"/>
      <c r="P1015" s="2914"/>
      <c r="Q1015" s="1745"/>
      <c r="R1015" s="2217"/>
      <c r="S1015" s="1745"/>
      <c r="T1015" s="1146"/>
      <c r="U1015" s="966"/>
      <c r="V1015" s="966"/>
      <c r="W1015" s="966"/>
      <c r="X1015" s="53" t="e">
        <f>SUM(#REF!)</f>
        <v>#REF!</v>
      </c>
      <c r="Y1015" s="679"/>
      <c r="Z1015" s="679"/>
      <c r="AA1015" s="679"/>
      <c r="AB1015" s="679"/>
      <c r="AC1015" s="679"/>
      <c r="AD1015" s="52">
        <v>1500</v>
      </c>
      <c r="AE1015" s="3"/>
      <c r="AF1015" s="24"/>
      <c r="AG1015" s="53">
        <f>SUM(AD1015:AF1015)</f>
        <v>1500</v>
      </c>
      <c r="AH1015" s="17" t="e">
        <f t="shared" si="55"/>
        <v>#REF!</v>
      </c>
    </row>
    <row r="1016" spans="8:34" hidden="1">
      <c r="H1016" s="2912"/>
      <c r="I1016" s="2912"/>
      <c r="J1016" s="2912"/>
      <c r="K1016" s="2912"/>
      <c r="L1016" s="2913"/>
      <c r="M1016" s="2913"/>
      <c r="N1016" s="2913"/>
      <c r="O1016" s="2913"/>
      <c r="P1016" s="2914"/>
      <c r="Q1016" s="1745"/>
      <c r="R1016" s="2217"/>
      <c r="S1016" s="1745"/>
      <c r="T1016" s="1146"/>
      <c r="U1016" s="966"/>
      <c r="V1016" s="966"/>
      <c r="W1016" s="966"/>
      <c r="X1016" s="53" t="e">
        <f>SUM(#REF!)</f>
        <v>#REF!</v>
      </c>
      <c r="Y1016" s="679"/>
      <c r="Z1016" s="679"/>
      <c r="AA1016" s="679"/>
      <c r="AB1016" s="679"/>
      <c r="AC1016" s="679"/>
      <c r="AD1016" s="52">
        <v>3000</v>
      </c>
      <c r="AE1016" s="3"/>
      <c r="AF1016" s="24"/>
      <c r="AG1016" s="53">
        <f>SUM(AD1016:AF1016)</f>
        <v>3000</v>
      </c>
      <c r="AH1016" s="17" t="e">
        <f t="shared" si="55"/>
        <v>#REF!</v>
      </c>
    </row>
    <row r="1017" spans="8:34" hidden="1">
      <c r="H1017" s="2912"/>
      <c r="I1017" s="2912"/>
      <c r="J1017" s="2912"/>
      <c r="K1017" s="2912"/>
      <c r="L1017" s="2913"/>
      <c r="M1017" s="2913"/>
      <c r="N1017" s="2913"/>
      <c r="O1017" s="2913"/>
      <c r="P1017" s="2914"/>
      <c r="Q1017" s="1745"/>
      <c r="R1017" s="2217"/>
      <c r="S1017" s="1745"/>
      <c r="T1017" s="1146"/>
      <c r="U1017" s="966"/>
      <c r="V1017" s="966"/>
      <c r="W1017" s="966"/>
      <c r="X1017" s="53" t="e">
        <f>SUM(#REF!)</f>
        <v>#REF!</v>
      </c>
      <c r="Y1017" s="679"/>
      <c r="Z1017" s="679"/>
      <c r="AA1017" s="679"/>
      <c r="AB1017" s="679"/>
      <c r="AC1017" s="679"/>
      <c r="AD1017" s="52">
        <v>2200</v>
      </c>
      <c r="AE1017" s="3"/>
      <c r="AF1017" s="24"/>
      <c r="AG1017" s="53">
        <f>SUM(AD1017:AF1017)</f>
        <v>2200</v>
      </c>
      <c r="AH1017" s="17" t="e">
        <f t="shared" si="55"/>
        <v>#REF!</v>
      </c>
    </row>
    <row r="1018" spans="8:34" hidden="1">
      <c r="H1018" s="2930"/>
      <c r="I1018" s="2930"/>
      <c r="J1018" s="2930"/>
      <c r="K1018" s="2930"/>
      <c r="L1018" s="2931"/>
      <c r="M1018" s="2931"/>
      <c r="N1018" s="2931"/>
      <c r="O1018" s="2931"/>
      <c r="P1018" s="2932"/>
      <c r="Q1018" s="1750"/>
      <c r="R1018" s="2223"/>
      <c r="S1018" s="1750"/>
      <c r="T1018" s="500"/>
      <c r="U1018" s="967"/>
      <c r="V1018" s="967"/>
      <c r="W1018" s="967"/>
      <c r="X1018" s="70" t="e">
        <f t="shared" ref="X1018:AG1018" si="58">SUM(X1019:X1023)</f>
        <v>#REF!</v>
      </c>
      <c r="Y1018" s="446"/>
      <c r="Z1018" s="446"/>
      <c r="AA1018" s="446"/>
      <c r="AB1018" s="446"/>
      <c r="AC1018" s="446"/>
      <c r="AD1018" s="79">
        <f t="shared" si="58"/>
        <v>5450</v>
      </c>
      <c r="AE1018" s="4">
        <f t="shared" si="58"/>
        <v>0</v>
      </c>
      <c r="AF1018" s="23">
        <f t="shared" si="58"/>
        <v>0</v>
      </c>
      <c r="AG1018" s="70">
        <f t="shared" si="58"/>
        <v>5450</v>
      </c>
      <c r="AH1018" s="17" t="e">
        <f t="shared" si="55"/>
        <v>#REF!</v>
      </c>
    </row>
    <row r="1019" spans="8:34" hidden="1">
      <c r="H1019" s="2912"/>
      <c r="I1019" s="2912"/>
      <c r="J1019" s="2912"/>
      <c r="K1019" s="2912"/>
      <c r="L1019" s="2913"/>
      <c r="M1019" s="2913"/>
      <c r="N1019" s="2913"/>
      <c r="O1019" s="2913"/>
      <c r="P1019" s="2914"/>
      <c r="Q1019" s="1745"/>
      <c r="R1019" s="2217"/>
      <c r="S1019" s="1745"/>
      <c r="T1019" s="1146"/>
      <c r="U1019" s="966"/>
      <c r="V1019" s="966"/>
      <c r="W1019" s="966"/>
      <c r="X1019" s="53" t="e">
        <f>SUM(#REF!)</f>
        <v>#REF!</v>
      </c>
      <c r="Y1019" s="679"/>
      <c r="Z1019" s="679"/>
      <c r="AA1019" s="679"/>
      <c r="AB1019" s="679"/>
      <c r="AC1019" s="679"/>
      <c r="AD1019" s="50">
        <v>1000</v>
      </c>
      <c r="AE1019" s="3"/>
      <c r="AF1019" s="24"/>
      <c r="AG1019" s="53">
        <f>SUM(AD1019:AF1019)</f>
        <v>1000</v>
      </c>
      <c r="AH1019" s="17" t="e">
        <f t="shared" si="55"/>
        <v>#REF!</v>
      </c>
    </row>
    <row r="1020" spans="8:34" hidden="1">
      <c r="H1020" s="2912"/>
      <c r="I1020" s="2912"/>
      <c r="J1020" s="2912"/>
      <c r="K1020" s="2912"/>
      <c r="L1020" s="2913"/>
      <c r="M1020" s="2913"/>
      <c r="N1020" s="2913"/>
      <c r="O1020" s="2913"/>
      <c r="P1020" s="2914"/>
      <c r="Q1020" s="1745"/>
      <c r="R1020" s="2217"/>
      <c r="S1020" s="1745"/>
      <c r="T1020" s="1146"/>
      <c r="U1020" s="966"/>
      <c r="V1020" s="966"/>
      <c r="W1020" s="966"/>
      <c r="X1020" s="53" t="e">
        <f>SUM(#REF!)</f>
        <v>#REF!</v>
      </c>
      <c r="Y1020" s="679"/>
      <c r="Z1020" s="679"/>
      <c r="AA1020" s="679"/>
      <c r="AB1020" s="679"/>
      <c r="AC1020" s="679"/>
      <c r="AD1020" s="50">
        <v>2000</v>
      </c>
      <c r="AE1020" s="3"/>
      <c r="AF1020" s="24"/>
      <c r="AG1020" s="53">
        <f>SUM(AD1020:AF1020)</f>
        <v>2000</v>
      </c>
      <c r="AH1020" s="17" t="e">
        <f t="shared" si="55"/>
        <v>#REF!</v>
      </c>
    </row>
    <row r="1021" spans="8:34" hidden="1">
      <c r="H1021" s="2912"/>
      <c r="I1021" s="2912"/>
      <c r="J1021" s="2912"/>
      <c r="K1021" s="2912"/>
      <c r="L1021" s="2913"/>
      <c r="M1021" s="2913"/>
      <c r="N1021" s="2913"/>
      <c r="O1021" s="2913"/>
      <c r="P1021" s="2914"/>
      <c r="Q1021" s="1745"/>
      <c r="R1021" s="2217"/>
      <c r="S1021" s="1745"/>
      <c r="T1021" s="1146"/>
      <c r="U1021" s="966"/>
      <c r="V1021" s="966"/>
      <c r="W1021" s="966"/>
      <c r="X1021" s="53" t="e">
        <f>SUM(#REF!)</f>
        <v>#REF!</v>
      </c>
      <c r="Y1021" s="679"/>
      <c r="Z1021" s="679"/>
      <c r="AA1021" s="679"/>
      <c r="AB1021" s="679"/>
      <c r="AC1021" s="679"/>
      <c r="AD1021" s="50">
        <v>1000</v>
      </c>
      <c r="AE1021" s="3"/>
      <c r="AF1021" s="24"/>
      <c r="AG1021" s="53">
        <f>SUM(AD1021:AF1021)</f>
        <v>1000</v>
      </c>
      <c r="AH1021" s="17" t="e">
        <f t="shared" si="55"/>
        <v>#REF!</v>
      </c>
    </row>
    <row r="1022" spans="8:34" hidden="1">
      <c r="H1022" s="2930"/>
      <c r="I1022" s="2930"/>
      <c r="J1022" s="2930"/>
      <c r="K1022" s="2930"/>
      <c r="L1022" s="2931"/>
      <c r="M1022" s="2931"/>
      <c r="N1022" s="2931"/>
      <c r="O1022" s="2931"/>
      <c r="P1022" s="2932"/>
      <c r="Q1022" s="1750"/>
      <c r="R1022" s="2223"/>
      <c r="S1022" s="1750"/>
      <c r="T1022" s="500"/>
      <c r="U1022" s="967"/>
      <c r="V1022" s="967"/>
      <c r="W1022" s="967"/>
      <c r="X1022" s="53" t="e">
        <f>SUM(#REF!)</f>
        <v>#REF!</v>
      </c>
      <c r="Y1022" s="679"/>
      <c r="Z1022" s="679"/>
      <c r="AA1022" s="679"/>
      <c r="AB1022" s="679"/>
      <c r="AC1022" s="679"/>
      <c r="AD1022" s="60">
        <v>450</v>
      </c>
      <c r="AE1022" s="4"/>
      <c r="AF1022" s="23"/>
      <c r="AG1022" s="53">
        <f>SUM(AD1022:AF1022)</f>
        <v>450</v>
      </c>
      <c r="AH1022" s="17" t="e">
        <f t="shared" si="55"/>
        <v>#REF!</v>
      </c>
    </row>
    <row r="1023" spans="8:34" hidden="1">
      <c r="H1023" s="2912"/>
      <c r="I1023" s="2912"/>
      <c r="J1023" s="2912"/>
      <c r="K1023" s="2912"/>
      <c r="L1023" s="2913"/>
      <c r="M1023" s="2913"/>
      <c r="N1023" s="2913"/>
      <c r="O1023" s="2913"/>
      <c r="P1023" s="2914"/>
      <c r="Q1023" s="1745"/>
      <c r="R1023" s="2217"/>
      <c r="S1023" s="1745"/>
      <c r="T1023" s="1146"/>
      <c r="U1023" s="966"/>
      <c r="V1023" s="966"/>
      <c r="W1023" s="966"/>
      <c r="X1023" s="53" t="e">
        <f>SUM(#REF!)</f>
        <v>#REF!</v>
      </c>
      <c r="Y1023" s="679"/>
      <c r="Z1023" s="679"/>
      <c r="AA1023" s="679"/>
      <c r="AB1023" s="679"/>
      <c r="AC1023" s="679"/>
      <c r="AD1023" s="50">
        <v>1000</v>
      </c>
      <c r="AE1023" s="3"/>
      <c r="AF1023" s="24"/>
      <c r="AG1023" s="53">
        <f>SUM(AD1023:AF1023)</f>
        <v>1000</v>
      </c>
      <c r="AH1023" s="17" t="e">
        <f t="shared" si="55"/>
        <v>#REF!</v>
      </c>
    </row>
    <row r="1024" spans="8:34" hidden="1">
      <c r="H1024" s="2903"/>
      <c r="I1024" s="2903"/>
      <c r="J1024" s="2903"/>
      <c r="K1024" s="2903"/>
      <c r="L1024" s="2904"/>
      <c r="M1024" s="2904"/>
      <c r="N1024" s="2904"/>
      <c r="O1024" s="2904"/>
      <c r="P1024" s="2905"/>
      <c r="Q1024" s="1743"/>
      <c r="R1024" s="2214"/>
      <c r="S1024" s="1743"/>
      <c r="T1024" s="1144"/>
      <c r="U1024" s="705"/>
      <c r="V1024" s="705"/>
      <c r="W1024" s="705"/>
      <c r="X1024" s="70" t="e">
        <f>SUM(X1025)</f>
        <v>#REF!</v>
      </c>
      <c r="Y1024" s="446"/>
      <c r="Z1024" s="446"/>
      <c r="AA1024" s="446"/>
      <c r="AB1024" s="446"/>
      <c r="AC1024" s="446"/>
      <c r="AD1024" s="45">
        <f t="shared" ref="AD1024:AF1024" si="59">SUM(AD1025)</f>
        <v>0</v>
      </c>
      <c r="AE1024" s="42">
        <f t="shared" si="59"/>
        <v>0</v>
      </c>
      <c r="AF1024" s="43">
        <f t="shared" si="59"/>
        <v>0</v>
      </c>
      <c r="AG1024" s="70">
        <f>SUM(AG1025)</f>
        <v>0</v>
      </c>
      <c r="AH1024" s="17" t="e">
        <f t="shared" si="55"/>
        <v>#REF!</v>
      </c>
    </row>
    <row r="1025" spans="8:34" hidden="1">
      <c r="H1025" s="2912"/>
      <c r="I1025" s="2912"/>
      <c r="J1025" s="2912"/>
      <c r="K1025" s="2912"/>
      <c r="L1025" s="2913"/>
      <c r="M1025" s="2913"/>
      <c r="N1025" s="2913"/>
      <c r="O1025" s="2913"/>
      <c r="P1025" s="2914"/>
      <c r="Q1025" s="1745"/>
      <c r="R1025" s="2217"/>
      <c r="S1025" s="1745"/>
      <c r="T1025" s="1146"/>
      <c r="U1025" s="966"/>
      <c r="V1025" s="966"/>
      <c r="W1025" s="966"/>
      <c r="X1025" s="53" t="e">
        <f>SUM(#REF!)</f>
        <v>#REF!</v>
      </c>
      <c r="Y1025" s="679"/>
      <c r="Z1025" s="679"/>
      <c r="AA1025" s="679"/>
      <c r="AB1025" s="679"/>
      <c r="AC1025" s="679"/>
      <c r="AD1025" s="52"/>
      <c r="AE1025" s="3"/>
      <c r="AF1025" s="24"/>
      <c r="AG1025" s="53">
        <f>SUM(AD1025:AF1025)</f>
        <v>0</v>
      </c>
      <c r="AH1025" s="17" t="e">
        <f t="shared" si="55"/>
        <v>#REF!</v>
      </c>
    </row>
    <row r="1026" spans="8:34" hidden="1">
      <c r="H1026" s="2921"/>
      <c r="I1026" s="2921"/>
      <c r="J1026" s="2921"/>
      <c r="K1026" s="2921"/>
      <c r="L1026" s="2922"/>
      <c r="M1026" s="2922"/>
      <c r="N1026" s="2922"/>
      <c r="O1026" s="2922"/>
      <c r="P1026" s="2923"/>
      <c r="Q1026" s="1511"/>
      <c r="R1026" s="2220"/>
      <c r="S1026" s="1511"/>
      <c r="T1026" s="572"/>
      <c r="U1026" s="12"/>
      <c r="V1026" s="12"/>
      <c r="W1026" s="12"/>
      <c r="X1026" s="80" t="e">
        <f t="shared" ref="X1026:AG1026" si="60">SUM(X1028,X1068)</f>
        <v>#REF!</v>
      </c>
      <c r="Y1026" s="574"/>
      <c r="Z1026" s="574"/>
      <c r="AA1026" s="574"/>
      <c r="AB1026" s="574"/>
      <c r="AC1026" s="574"/>
      <c r="AD1026" s="69">
        <f t="shared" si="60"/>
        <v>8584000</v>
      </c>
      <c r="AE1026" s="5">
        <f t="shared" si="60"/>
        <v>1687600</v>
      </c>
      <c r="AF1026" s="22">
        <f t="shared" si="60"/>
        <v>0</v>
      </c>
      <c r="AG1026" s="80">
        <f t="shared" si="60"/>
        <v>10271600</v>
      </c>
      <c r="AH1026" s="41" t="e">
        <f t="shared" si="55"/>
        <v>#REF!</v>
      </c>
    </row>
    <row r="1027" spans="8:34" hidden="1">
      <c r="H1027" s="2921"/>
      <c r="I1027" s="2921"/>
      <c r="J1027" s="2921"/>
      <c r="K1027" s="2921"/>
      <c r="L1027" s="2922"/>
      <c r="M1027" s="2922"/>
      <c r="N1027" s="2922"/>
      <c r="O1027" s="2922"/>
      <c r="P1027" s="2923"/>
      <c r="Q1027" s="1511"/>
      <c r="R1027" s="2220"/>
      <c r="S1027" s="1511"/>
      <c r="T1027" s="572"/>
      <c r="U1027" s="12"/>
      <c r="V1027" s="12"/>
      <c r="W1027" s="12"/>
      <c r="X1027" s="80"/>
      <c r="Y1027" s="574"/>
      <c r="Z1027" s="574"/>
      <c r="AA1027" s="574"/>
      <c r="AB1027" s="574"/>
      <c r="AC1027" s="574"/>
      <c r="AD1027" s="69">
        <v>250</v>
      </c>
      <c r="AE1027" s="5"/>
      <c r="AF1027" s="22"/>
      <c r="AG1027" s="80"/>
      <c r="AH1027" s="41"/>
    </row>
    <row r="1028" spans="8:34" hidden="1">
      <c r="H1028" s="2909"/>
      <c r="I1028" s="2909"/>
      <c r="J1028" s="2909"/>
      <c r="K1028" s="2909"/>
      <c r="L1028" s="2910"/>
      <c r="M1028" s="2910"/>
      <c r="N1028" s="2910"/>
      <c r="O1028" s="2910"/>
      <c r="P1028" s="2911"/>
      <c r="Q1028" s="1260"/>
      <c r="R1028" s="2216"/>
      <c r="S1028" s="1260"/>
      <c r="T1028" s="446"/>
      <c r="U1028" s="70"/>
      <c r="V1028" s="70"/>
      <c r="W1028" s="70"/>
      <c r="X1028" s="19" t="e">
        <f>SUM(X1029,X1041,X1043,X1062:X1063,X1061)</f>
        <v>#REF!</v>
      </c>
      <c r="Y1028" s="575"/>
      <c r="Z1028" s="575"/>
      <c r="AA1028" s="575"/>
      <c r="AB1028" s="575"/>
      <c r="AC1028" s="575"/>
      <c r="AD1028" s="59">
        <f>SUM(AD1029,AD1041,AD1043,AD1062:AD1063,AD1061)</f>
        <v>8584000</v>
      </c>
      <c r="AE1028" s="55">
        <f>SUM(AE1029,AE1041,AE1043,AE1062:AE1063)</f>
        <v>0</v>
      </c>
      <c r="AF1028" s="56">
        <f>SUM(AF1029,AF1041,AF1043,AF1062:AF1063)</f>
        <v>0</v>
      </c>
      <c r="AG1028" s="19">
        <f>SUM(AG1029,AG1041,AG1043,AG1062:AG1063,AG1061)</f>
        <v>8584000</v>
      </c>
      <c r="AH1028" s="17" t="e">
        <f>AG1028/X1028*100</f>
        <v>#REF!</v>
      </c>
    </row>
    <row r="1029" spans="8:34" hidden="1">
      <c r="H1029" s="2909"/>
      <c r="I1029" s="2909"/>
      <c r="J1029" s="2909"/>
      <c r="K1029" s="2909"/>
      <c r="L1029" s="2910"/>
      <c r="M1029" s="2910"/>
      <c r="N1029" s="2910"/>
      <c r="O1029" s="2910"/>
      <c r="P1029" s="2911"/>
      <c r="Q1029" s="1260"/>
      <c r="R1029" s="2216"/>
      <c r="S1029" s="1260"/>
      <c r="T1029" s="446"/>
      <c r="U1029" s="70"/>
      <c r="V1029" s="70"/>
      <c r="W1029" s="70"/>
      <c r="X1029" s="19" t="e">
        <f>SUM(X1030,X1035)</f>
        <v>#REF!</v>
      </c>
      <c r="Y1029" s="575"/>
      <c r="Z1029" s="575"/>
      <c r="AA1029" s="575"/>
      <c r="AB1029" s="575"/>
      <c r="AC1029" s="575"/>
      <c r="AD1029" s="59">
        <f>SUM(AD1030,AD1035)</f>
        <v>6228000</v>
      </c>
      <c r="AE1029" s="55">
        <f>SUM(AE1030,AE1034)</f>
        <v>0</v>
      </c>
      <c r="AF1029" s="56">
        <f>SUM(AF1030,AF1034)</f>
        <v>0</v>
      </c>
      <c r="AG1029" s="19">
        <f>SUM(AG1030,AG1035)</f>
        <v>6228000</v>
      </c>
      <c r="AH1029" s="17" t="e">
        <f>AG1029/X1029*100</f>
        <v>#REF!</v>
      </c>
    </row>
    <row r="1030" spans="8:34" hidden="1">
      <c r="H1030" s="2909"/>
      <c r="I1030" s="2909"/>
      <c r="J1030" s="2909"/>
      <c r="K1030" s="2909"/>
      <c r="L1030" s="2910"/>
      <c r="M1030" s="2910"/>
      <c r="N1030" s="2910"/>
      <c r="O1030" s="2910"/>
      <c r="P1030" s="2911"/>
      <c r="Q1030" s="1260"/>
      <c r="R1030" s="2216"/>
      <c r="S1030" s="1260"/>
      <c r="T1030" s="446"/>
      <c r="U1030" s="70"/>
      <c r="V1030" s="70"/>
      <c r="W1030" s="70"/>
      <c r="X1030" s="70" t="e">
        <f t="shared" ref="X1030:AG1030" si="61">SUM(X1031:X1034)</f>
        <v>#REF!</v>
      </c>
      <c r="Y1030" s="446"/>
      <c r="Z1030" s="446"/>
      <c r="AA1030" s="446"/>
      <c r="AB1030" s="446"/>
      <c r="AC1030" s="446"/>
      <c r="AD1030" s="59">
        <f t="shared" si="61"/>
        <v>5275000</v>
      </c>
      <c r="AE1030" s="55">
        <f t="shared" si="61"/>
        <v>0</v>
      </c>
      <c r="AF1030" s="56">
        <f t="shared" si="61"/>
        <v>0</v>
      </c>
      <c r="AG1030" s="70">
        <f t="shared" si="61"/>
        <v>5275000</v>
      </c>
      <c r="AH1030" s="17" t="e">
        <f>AG1030/X1030*100</f>
        <v>#REF!</v>
      </c>
    </row>
    <row r="1031" spans="8:34" hidden="1">
      <c r="H1031" s="2924"/>
      <c r="I1031" s="2924"/>
      <c r="J1031" s="2924"/>
      <c r="K1031" s="2924"/>
      <c r="L1031" s="2925"/>
      <c r="M1031" s="2925"/>
      <c r="N1031" s="2925"/>
      <c r="O1031" s="2925"/>
      <c r="P1031" s="2926"/>
      <c r="Q1031" s="1748"/>
      <c r="R1031" s="2221"/>
      <c r="S1031" s="1748"/>
      <c r="T1031" s="679"/>
      <c r="U1031" s="53"/>
      <c r="V1031" s="53"/>
      <c r="W1031" s="53"/>
      <c r="X1031" s="53" t="e">
        <f>SUM(#REF!)</f>
        <v>#REF!</v>
      </c>
      <c r="Y1031" s="679"/>
      <c r="Z1031" s="679"/>
      <c r="AA1031" s="679"/>
      <c r="AB1031" s="679"/>
      <c r="AC1031" s="679"/>
      <c r="AD1031" s="52">
        <v>3650000</v>
      </c>
      <c r="AE1031" s="71"/>
      <c r="AF1031" s="72"/>
      <c r="AG1031" s="53">
        <f>SUM(AD1031:AF1031)</f>
        <v>3650000</v>
      </c>
      <c r="AH1031" s="17" t="e">
        <f>AG1031/X1031*100</f>
        <v>#REF!</v>
      </c>
    </row>
    <row r="1032" spans="8:34" hidden="1">
      <c r="H1032" s="2924"/>
      <c r="I1032" s="2924"/>
      <c r="J1032" s="2924"/>
      <c r="K1032" s="2924"/>
      <c r="L1032" s="2925"/>
      <c r="M1032" s="2925"/>
      <c r="N1032" s="2925"/>
      <c r="O1032" s="2925"/>
      <c r="P1032" s="2926"/>
      <c r="Q1032" s="1748"/>
      <c r="R1032" s="2221"/>
      <c r="S1032" s="1748"/>
      <c r="T1032" s="679"/>
      <c r="U1032" s="53"/>
      <c r="V1032" s="53"/>
      <c r="W1032" s="53"/>
      <c r="X1032" s="53"/>
      <c r="Y1032" s="679"/>
      <c r="Z1032" s="679"/>
      <c r="AA1032" s="679"/>
      <c r="AB1032" s="679"/>
      <c r="AC1032" s="679"/>
      <c r="AD1032" s="52"/>
      <c r="AE1032" s="71"/>
      <c r="AF1032" s="72"/>
      <c r="AG1032" s="53"/>
      <c r="AH1032" s="17" t="e">
        <f>AG1032/X1032*100</f>
        <v>#DIV/0!</v>
      </c>
    </row>
    <row r="1033" spans="8:34" hidden="1">
      <c r="H1033" s="2924"/>
      <c r="I1033" s="2924"/>
      <c r="J1033" s="2924"/>
      <c r="K1033" s="2924"/>
      <c r="L1033" s="2925"/>
      <c r="M1033" s="2925"/>
      <c r="N1033" s="2925"/>
      <c r="O1033" s="2925"/>
      <c r="P1033" s="2926"/>
      <c r="Q1033" s="1748"/>
      <c r="R1033" s="2221"/>
      <c r="S1033" s="1748"/>
      <c r="T1033" s="679"/>
      <c r="U1033" s="53"/>
      <c r="V1033" s="53"/>
      <c r="W1033" s="53"/>
      <c r="X1033" s="53" t="e">
        <f>SUM(#REF!)</f>
        <v>#REF!</v>
      </c>
      <c r="Y1033" s="679"/>
      <c r="Z1033" s="679"/>
      <c r="AA1033" s="679"/>
      <c r="AB1033" s="679"/>
      <c r="AC1033" s="679"/>
      <c r="AD1033" s="52"/>
      <c r="AE1033" s="71"/>
      <c r="AF1033" s="72"/>
      <c r="AG1033" s="53">
        <f>SUM(AD1033:AF1033)</f>
        <v>0</v>
      </c>
      <c r="AH1033" s="17"/>
    </row>
    <row r="1034" spans="8:34" hidden="1">
      <c r="H1034" s="2909"/>
      <c r="I1034" s="2909"/>
      <c r="J1034" s="2909"/>
      <c r="K1034" s="2909"/>
      <c r="L1034" s="2910"/>
      <c r="M1034" s="2910"/>
      <c r="N1034" s="2910"/>
      <c r="O1034" s="2910"/>
      <c r="P1034" s="2911"/>
      <c r="Q1034" s="1260"/>
      <c r="R1034" s="2216"/>
      <c r="S1034" s="1260"/>
      <c r="T1034" s="446"/>
      <c r="U1034" s="70"/>
      <c r="V1034" s="70"/>
      <c r="W1034" s="70"/>
      <c r="X1034" s="53" t="e">
        <f>SUM(#REF!)</f>
        <v>#REF!</v>
      </c>
      <c r="Y1034" s="679"/>
      <c r="Z1034" s="679"/>
      <c r="AA1034" s="679"/>
      <c r="AB1034" s="679"/>
      <c r="AC1034" s="679"/>
      <c r="AD1034" s="52">
        <v>1625000</v>
      </c>
      <c r="AE1034" s="55"/>
      <c r="AF1034" s="56"/>
      <c r="AG1034" s="53">
        <f>SUM(AD1034:AF1034)</f>
        <v>1625000</v>
      </c>
      <c r="AH1034" s="17" t="e">
        <f t="shared" ref="AH1034:AH1066" si="62">AG1034/X1034*100</f>
        <v>#REF!</v>
      </c>
    </row>
    <row r="1035" spans="8:34" hidden="1">
      <c r="H1035" s="2909"/>
      <c r="I1035" s="2909"/>
      <c r="J1035" s="2909"/>
      <c r="K1035" s="2909"/>
      <c r="L1035" s="2910"/>
      <c r="M1035" s="2910"/>
      <c r="N1035" s="2910"/>
      <c r="O1035" s="2910"/>
      <c r="P1035" s="2911"/>
      <c r="Q1035" s="1260"/>
      <c r="R1035" s="2216"/>
      <c r="S1035" s="1260"/>
      <c r="T1035" s="446"/>
      <c r="U1035" s="70"/>
      <c r="V1035" s="70"/>
      <c r="W1035" s="70"/>
      <c r="X1035" s="70" t="e">
        <f t="shared" ref="X1035:AG1035" si="63">SUM(X1036:X1040)</f>
        <v>#REF!</v>
      </c>
      <c r="Y1035" s="446"/>
      <c r="Z1035" s="446"/>
      <c r="AA1035" s="446"/>
      <c r="AB1035" s="446"/>
      <c r="AC1035" s="446"/>
      <c r="AD1035" s="59">
        <f t="shared" si="63"/>
        <v>953000</v>
      </c>
      <c r="AE1035" s="55">
        <f t="shared" si="63"/>
        <v>0</v>
      </c>
      <c r="AF1035" s="56">
        <f t="shared" si="63"/>
        <v>0</v>
      </c>
      <c r="AG1035" s="70">
        <f t="shared" si="63"/>
        <v>953000</v>
      </c>
      <c r="AH1035" s="17" t="e">
        <f t="shared" si="62"/>
        <v>#REF!</v>
      </c>
    </row>
    <row r="1036" spans="8:34" hidden="1">
      <c r="H1036" s="2924"/>
      <c r="I1036" s="2924"/>
      <c r="J1036" s="2924"/>
      <c r="K1036" s="2924"/>
      <c r="L1036" s="2925"/>
      <c r="M1036" s="2925"/>
      <c r="N1036" s="2925"/>
      <c r="O1036" s="2925"/>
      <c r="P1036" s="2926"/>
      <c r="Q1036" s="1748"/>
      <c r="R1036" s="2221"/>
      <c r="S1036" s="1748"/>
      <c r="T1036" s="679"/>
      <c r="U1036" s="53"/>
      <c r="V1036" s="53"/>
      <c r="W1036" s="53"/>
      <c r="X1036" s="53" t="e">
        <f>SUM(#REF!)</f>
        <v>#REF!</v>
      </c>
      <c r="Y1036" s="679"/>
      <c r="Z1036" s="679"/>
      <c r="AA1036" s="679"/>
      <c r="AB1036" s="679"/>
      <c r="AC1036" s="679"/>
      <c r="AD1036" s="52">
        <v>110000</v>
      </c>
      <c r="AE1036" s="71"/>
      <c r="AF1036" s="72"/>
      <c r="AG1036" s="53">
        <f>SUM(AD1036:AF1036)</f>
        <v>110000</v>
      </c>
      <c r="AH1036" s="17" t="e">
        <f t="shared" si="62"/>
        <v>#REF!</v>
      </c>
    </row>
    <row r="1037" spans="8:34" hidden="1">
      <c r="H1037" s="2924"/>
      <c r="I1037" s="2924"/>
      <c r="J1037" s="2924"/>
      <c r="K1037" s="2924"/>
      <c r="L1037" s="2925"/>
      <c r="M1037" s="2925"/>
      <c r="N1037" s="2925"/>
      <c r="O1037" s="2925"/>
      <c r="P1037" s="2926"/>
      <c r="Q1037" s="1748"/>
      <c r="R1037" s="2221"/>
      <c r="S1037" s="1748"/>
      <c r="T1037" s="679"/>
      <c r="U1037" s="53"/>
      <c r="V1037" s="53"/>
      <c r="W1037" s="53"/>
      <c r="X1037" s="53" t="e">
        <f>SUM(#REF!)</f>
        <v>#REF!</v>
      </c>
      <c r="Y1037" s="679"/>
      <c r="Z1037" s="679"/>
      <c r="AA1037" s="679"/>
      <c r="AB1037" s="679"/>
      <c r="AC1037" s="679"/>
      <c r="AD1037" s="52">
        <v>470000</v>
      </c>
      <c r="AE1037" s="71"/>
      <c r="AF1037" s="72"/>
      <c r="AG1037" s="53">
        <f>SUM(AD1037:AF1037)</f>
        <v>470000</v>
      </c>
      <c r="AH1037" s="17" t="e">
        <f t="shared" si="62"/>
        <v>#REF!</v>
      </c>
    </row>
    <row r="1038" spans="8:34" hidden="1">
      <c r="H1038" s="2924"/>
      <c r="I1038" s="2924"/>
      <c r="J1038" s="2924"/>
      <c r="K1038" s="2924"/>
      <c r="L1038" s="2925"/>
      <c r="M1038" s="2925"/>
      <c r="N1038" s="2925"/>
      <c r="O1038" s="2925"/>
      <c r="P1038" s="2926"/>
      <c r="Q1038" s="1748"/>
      <c r="R1038" s="2221"/>
      <c r="S1038" s="1748"/>
      <c r="T1038" s="679"/>
      <c r="U1038" s="53"/>
      <c r="V1038" s="53"/>
      <c r="W1038" s="53"/>
      <c r="X1038" s="53" t="e">
        <f>SUM(#REF!)</f>
        <v>#REF!</v>
      </c>
      <c r="Y1038" s="679"/>
      <c r="Z1038" s="679"/>
      <c r="AA1038" s="679"/>
      <c r="AB1038" s="679"/>
      <c r="AC1038" s="679"/>
      <c r="AD1038" s="52">
        <v>108000</v>
      </c>
      <c r="AE1038" s="71"/>
      <c r="AF1038" s="72"/>
      <c r="AG1038" s="53">
        <f>SUM(AD1038:AF1038)</f>
        <v>108000</v>
      </c>
      <c r="AH1038" s="17" t="e">
        <f t="shared" si="62"/>
        <v>#REF!</v>
      </c>
    </row>
    <row r="1039" spans="8:34" hidden="1">
      <c r="H1039" s="2924"/>
      <c r="I1039" s="2924"/>
      <c r="J1039" s="2924"/>
      <c r="K1039" s="2924"/>
      <c r="L1039" s="2925"/>
      <c r="M1039" s="2925"/>
      <c r="N1039" s="2925"/>
      <c r="O1039" s="2925"/>
      <c r="P1039" s="2926"/>
      <c r="Q1039" s="1748"/>
      <c r="R1039" s="2221"/>
      <c r="S1039" s="1748"/>
      <c r="T1039" s="679"/>
      <c r="U1039" s="53"/>
      <c r="V1039" s="53"/>
      <c r="W1039" s="53"/>
      <c r="X1039" s="53" t="e">
        <f>SUM(#REF!)</f>
        <v>#REF!</v>
      </c>
      <c r="Y1039" s="679"/>
      <c r="Z1039" s="679"/>
      <c r="AA1039" s="679"/>
      <c r="AB1039" s="679"/>
      <c r="AC1039" s="679"/>
      <c r="AD1039" s="61">
        <v>135000</v>
      </c>
      <c r="AE1039" s="71"/>
      <c r="AF1039" s="72"/>
      <c r="AG1039" s="53">
        <f>SUM(AD1039:AF1039)</f>
        <v>135000</v>
      </c>
      <c r="AH1039" s="17" t="e">
        <f t="shared" si="62"/>
        <v>#REF!</v>
      </c>
    </row>
    <row r="1040" spans="8:34" hidden="1">
      <c r="H1040" s="2924"/>
      <c r="I1040" s="2924"/>
      <c r="J1040" s="2924"/>
      <c r="K1040" s="2924"/>
      <c r="L1040" s="2925"/>
      <c r="M1040" s="2925"/>
      <c r="N1040" s="2925"/>
      <c r="O1040" s="2925"/>
      <c r="P1040" s="2926"/>
      <c r="Q1040" s="1748"/>
      <c r="R1040" s="2221"/>
      <c r="S1040" s="1748"/>
      <c r="T1040" s="679"/>
      <c r="U1040" s="53"/>
      <c r="V1040" s="53"/>
      <c r="W1040" s="53"/>
      <c r="X1040" s="53" t="e">
        <f>SUM(#REF!)</f>
        <v>#REF!</v>
      </c>
      <c r="Y1040" s="679"/>
      <c r="Z1040" s="679"/>
      <c r="AA1040" s="679"/>
      <c r="AB1040" s="679"/>
      <c r="AC1040" s="679"/>
      <c r="AD1040" s="52">
        <v>130000</v>
      </c>
      <c r="AE1040" s="71"/>
      <c r="AF1040" s="72"/>
      <c r="AG1040" s="53">
        <f>SUM(AD1040:AF1040)</f>
        <v>130000</v>
      </c>
      <c r="AH1040" s="17" t="e">
        <f t="shared" si="62"/>
        <v>#REF!</v>
      </c>
    </row>
    <row r="1041" spans="8:34" hidden="1">
      <c r="H1041" s="2909"/>
      <c r="I1041" s="2909"/>
      <c r="J1041" s="2909"/>
      <c r="K1041" s="2909"/>
      <c r="L1041" s="2910"/>
      <c r="M1041" s="2910"/>
      <c r="N1041" s="2910"/>
      <c r="O1041" s="2910"/>
      <c r="P1041" s="2911"/>
      <c r="Q1041" s="1260"/>
      <c r="R1041" s="2216"/>
      <c r="S1041" s="1260"/>
      <c r="T1041" s="446"/>
      <c r="U1041" s="70"/>
      <c r="V1041" s="70"/>
      <c r="W1041" s="70"/>
      <c r="X1041" s="70" t="e">
        <f t="shared" ref="X1041:AG1041" si="64">SUM(X1042)</f>
        <v>#REF!</v>
      </c>
      <c r="Y1041" s="446"/>
      <c r="Z1041" s="446"/>
      <c r="AA1041" s="446"/>
      <c r="AB1041" s="446"/>
      <c r="AC1041" s="446"/>
      <c r="AD1041" s="59">
        <f t="shared" si="64"/>
        <v>602000</v>
      </c>
      <c r="AE1041" s="55">
        <f t="shared" si="64"/>
        <v>0</v>
      </c>
      <c r="AF1041" s="56">
        <f t="shared" si="64"/>
        <v>0</v>
      </c>
      <c r="AG1041" s="70">
        <f t="shared" si="64"/>
        <v>602000</v>
      </c>
      <c r="AH1041" s="17" t="e">
        <f t="shared" si="62"/>
        <v>#REF!</v>
      </c>
    </row>
    <row r="1042" spans="8:34" hidden="1">
      <c r="H1042" s="2924"/>
      <c r="I1042" s="2924"/>
      <c r="J1042" s="2924"/>
      <c r="K1042" s="2924"/>
      <c r="L1042" s="2925"/>
      <c r="M1042" s="2925"/>
      <c r="N1042" s="2925"/>
      <c r="O1042" s="2925"/>
      <c r="P1042" s="2926"/>
      <c r="Q1042" s="1748"/>
      <c r="R1042" s="2221"/>
      <c r="S1042" s="1748"/>
      <c r="T1042" s="679"/>
      <c r="U1042" s="53"/>
      <c r="V1042" s="53"/>
      <c r="W1042" s="53"/>
      <c r="X1042" s="53" t="e">
        <f>SUM(#REF!)</f>
        <v>#REF!</v>
      </c>
      <c r="Y1042" s="679"/>
      <c r="Z1042" s="679"/>
      <c r="AA1042" s="679"/>
      <c r="AB1042" s="679"/>
      <c r="AC1042" s="679"/>
      <c r="AD1042" s="52">
        <v>602000</v>
      </c>
      <c r="AE1042" s="71"/>
      <c r="AF1042" s="72"/>
      <c r="AG1042" s="53">
        <f>SUM(AD1042:AF1042)</f>
        <v>602000</v>
      </c>
      <c r="AH1042" s="17" t="e">
        <f t="shared" si="62"/>
        <v>#REF!</v>
      </c>
    </row>
    <row r="1043" spans="8:34" hidden="1">
      <c r="H1043" s="2909"/>
      <c r="I1043" s="2909"/>
      <c r="J1043" s="2909"/>
      <c r="K1043" s="2909"/>
      <c r="L1043" s="2910"/>
      <c r="M1043" s="2910"/>
      <c r="N1043" s="2910"/>
      <c r="O1043" s="2910"/>
      <c r="P1043" s="2911"/>
      <c r="Q1043" s="1260"/>
      <c r="R1043" s="2216"/>
      <c r="S1043" s="1260"/>
      <c r="T1043" s="446"/>
      <c r="U1043" s="70"/>
      <c r="V1043" s="70"/>
      <c r="W1043" s="70"/>
      <c r="X1043" s="70" t="e">
        <f t="shared" ref="X1043:AG1043" si="65">SUM(X1044:X1053)</f>
        <v>#REF!</v>
      </c>
      <c r="Y1043" s="446"/>
      <c r="Z1043" s="446"/>
      <c r="AA1043" s="446"/>
      <c r="AB1043" s="446"/>
      <c r="AC1043" s="446"/>
      <c r="AD1043" s="59">
        <f t="shared" si="65"/>
        <v>1545000</v>
      </c>
      <c r="AE1043" s="55">
        <f t="shared" si="65"/>
        <v>0</v>
      </c>
      <c r="AF1043" s="56">
        <f t="shared" si="65"/>
        <v>0</v>
      </c>
      <c r="AG1043" s="70">
        <f t="shared" si="65"/>
        <v>1545000</v>
      </c>
      <c r="AH1043" s="17" t="e">
        <f t="shared" si="62"/>
        <v>#REF!</v>
      </c>
    </row>
    <row r="1044" spans="8:34" hidden="1">
      <c r="H1044" s="2924"/>
      <c r="I1044" s="2924"/>
      <c r="J1044" s="2924"/>
      <c r="K1044" s="2924"/>
      <c r="L1044" s="2925"/>
      <c r="M1044" s="2925"/>
      <c r="N1044" s="2925"/>
      <c r="O1044" s="2925"/>
      <c r="P1044" s="2926"/>
      <c r="Q1044" s="1748"/>
      <c r="R1044" s="2221"/>
      <c r="S1044" s="1748"/>
      <c r="T1044" s="679"/>
      <c r="U1044" s="53"/>
      <c r="V1044" s="53"/>
      <c r="W1044" s="53"/>
      <c r="X1044" s="81" t="e">
        <f>SUM(#REF!)</f>
        <v>#REF!</v>
      </c>
      <c r="Y1044" s="576"/>
      <c r="Z1044" s="576"/>
      <c r="AA1044" s="576"/>
      <c r="AB1044" s="576"/>
      <c r="AC1044" s="576"/>
      <c r="AD1044" s="73">
        <v>2000</v>
      </c>
      <c r="AE1044" s="71"/>
      <c r="AF1044" s="72"/>
      <c r="AG1044" s="81">
        <f t="shared" ref="AG1044:AG1052" si="66">SUM(AD1044:AF1044)</f>
        <v>2000</v>
      </c>
      <c r="AH1044" s="17" t="e">
        <f t="shared" si="62"/>
        <v>#REF!</v>
      </c>
    </row>
    <row r="1045" spans="8:34" hidden="1">
      <c r="H1045" s="2924"/>
      <c r="I1045" s="2924"/>
      <c r="J1045" s="2924"/>
      <c r="K1045" s="2924"/>
      <c r="L1045" s="2925"/>
      <c r="M1045" s="2925"/>
      <c r="N1045" s="2925"/>
      <c r="O1045" s="2925"/>
      <c r="P1045" s="2926"/>
      <c r="Q1045" s="1748"/>
      <c r="R1045" s="2221"/>
      <c r="S1045" s="1748"/>
      <c r="T1045" s="679"/>
      <c r="U1045" s="53"/>
      <c r="V1045" s="53"/>
      <c r="W1045" s="53"/>
      <c r="X1045" s="81" t="e">
        <f>SUM(#REF!)</f>
        <v>#REF!</v>
      </c>
      <c r="Y1045" s="576"/>
      <c r="Z1045" s="576"/>
      <c r="AA1045" s="576"/>
      <c r="AB1045" s="576"/>
      <c r="AC1045" s="576"/>
      <c r="AD1045" s="73">
        <v>180000</v>
      </c>
      <c r="AE1045" s="71"/>
      <c r="AF1045" s="72"/>
      <c r="AG1045" s="81">
        <f t="shared" si="66"/>
        <v>180000</v>
      </c>
      <c r="AH1045" s="17" t="e">
        <f t="shared" si="62"/>
        <v>#REF!</v>
      </c>
    </row>
    <row r="1046" spans="8:34" hidden="1">
      <c r="H1046" s="2924"/>
      <c r="I1046" s="2924"/>
      <c r="J1046" s="2924"/>
      <c r="K1046" s="2924"/>
      <c r="L1046" s="2925"/>
      <c r="M1046" s="2925"/>
      <c r="N1046" s="2925"/>
      <c r="O1046" s="2925"/>
      <c r="P1046" s="2926"/>
      <c r="Q1046" s="1748"/>
      <c r="R1046" s="2221"/>
      <c r="S1046" s="1748"/>
      <c r="T1046" s="679"/>
      <c r="U1046" s="53"/>
      <c r="V1046" s="53"/>
      <c r="W1046" s="53"/>
      <c r="X1046" s="81" t="e">
        <f>SUM(#REF!)</f>
        <v>#REF!</v>
      </c>
      <c r="Y1046" s="576"/>
      <c r="Z1046" s="576"/>
      <c r="AA1046" s="576"/>
      <c r="AB1046" s="576"/>
      <c r="AC1046" s="576"/>
      <c r="AD1046" s="73">
        <v>800000</v>
      </c>
      <c r="AE1046" s="71"/>
      <c r="AF1046" s="72"/>
      <c r="AG1046" s="81">
        <f t="shared" si="66"/>
        <v>800000</v>
      </c>
      <c r="AH1046" s="17" t="e">
        <f t="shared" si="62"/>
        <v>#REF!</v>
      </c>
    </row>
    <row r="1047" spans="8:34" hidden="1">
      <c r="H1047" s="2924"/>
      <c r="I1047" s="2924"/>
      <c r="J1047" s="2924"/>
      <c r="K1047" s="2924"/>
      <c r="L1047" s="2925"/>
      <c r="M1047" s="2925"/>
      <c r="N1047" s="2925"/>
      <c r="O1047" s="2925"/>
      <c r="P1047" s="2926"/>
      <c r="Q1047" s="1748"/>
      <c r="R1047" s="2221"/>
      <c r="S1047" s="1748"/>
      <c r="T1047" s="679"/>
      <c r="U1047" s="53"/>
      <c r="V1047" s="53"/>
      <c r="W1047" s="53"/>
      <c r="X1047" s="81" t="e">
        <f>SUM(#REF!)</f>
        <v>#REF!</v>
      </c>
      <c r="Y1047" s="576"/>
      <c r="Z1047" s="576"/>
      <c r="AA1047" s="576"/>
      <c r="AB1047" s="576"/>
      <c r="AC1047" s="576"/>
      <c r="AD1047" s="73">
        <v>95000</v>
      </c>
      <c r="AE1047" s="71"/>
      <c r="AF1047" s="72"/>
      <c r="AG1047" s="81">
        <f t="shared" si="66"/>
        <v>95000</v>
      </c>
      <c r="AH1047" s="17" t="e">
        <f t="shared" si="62"/>
        <v>#REF!</v>
      </c>
    </row>
    <row r="1048" spans="8:34" hidden="1">
      <c r="H1048" s="2924"/>
      <c r="I1048" s="2924"/>
      <c r="J1048" s="2924"/>
      <c r="K1048" s="2924"/>
      <c r="L1048" s="2925"/>
      <c r="M1048" s="2925"/>
      <c r="N1048" s="2925"/>
      <c r="O1048" s="2925"/>
      <c r="P1048" s="2926"/>
      <c r="Q1048" s="1748"/>
      <c r="R1048" s="2221"/>
      <c r="S1048" s="1748"/>
      <c r="T1048" s="679"/>
      <c r="U1048" s="53"/>
      <c r="V1048" s="53"/>
      <c r="W1048" s="53"/>
      <c r="X1048" s="81" t="e">
        <f>SUM(#REF!)</f>
        <v>#REF!</v>
      </c>
      <c r="Y1048" s="576"/>
      <c r="Z1048" s="576"/>
      <c r="AA1048" s="576"/>
      <c r="AB1048" s="576"/>
      <c r="AC1048" s="576"/>
      <c r="AD1048" s="73">
        <v>15000</v>
      </c>
      <c r="AE1048" s="71"/>
      <c r="AF1048" s="72"/>
      <c r="AG1048" s="81">
        <f t="shared" si="66"/>
        <v>15000</v>
      </c>
      <c r="AH1048" s="17" t="e">
        <f t="shared" si="62"/>
        <v>#REF!</v>
      </c>
    </row>
    <row r="1049" spans="8:34" hidden="1">
      <c r="H1049" s="2924"/>
      <c r="I1049" s="2924"/>
      <c r="J1049" s="2924"/>
      <c r="K1049" s="2924"/>
      <c r="L1049" s="2925"/>
      <c r="M1049" s="2925"/>
      <c r="N1049" s="2925"/>
      <c r="O1049" s="2925"/>
      <c r="P1049" s="2926"/>
      <c r="Q1049" s="1748"/>
      <c r="R1049" s="2221"/>
      <c r="S1049" s="1748"/>
      <c r="T1049" s="679"/>
      <c r="U1049" s="53"/>
      <c r="V1049" s="53"/>
      <c r="W1049" s="53"/>
      <c r="X1049" s="81" t="e">
        <f>SUM(#REF!)</f>
        <v>#REF!</v>
      </c>
      <c r="Y1049" s="576"/>
      <c r="Z1049" s="576"/>
      <c r="AA1049" s="576"/>
      <c r="AB1049" s="576"/>
      <c r="AC1049" s="576"/>
      <c r="AD1049" s="73">
        <v>60000</v>
      </c>
      <c r="AE1049" s="71"/>
      <c r="AF1049" s="72"/>
      <c r="AG1049" s="81">
        <f t="shared" si="66"/>
        <v>60000</v>
      </c>
      <c r="AH1049" s="17" t="e">
        <f t="shared" si="62"/>
        <v>#REF!</v>
      </c>
    </row>
    <row r="1050" spans="8:34" hidden="1">
      <c r="H1050" s="2924"/>
      <c r="I1050" s="2924"/>
      <c r="J1050" s="2924"/>
      <c r="K1050" s="2924"/>
      <c r="L1050" s="2925"/>
      <c r="M1050" s="2925"/>
      <c r="N1050" s="2925"/>
      <c r="O1050" s="2925"/>
      <c r="P1050" s="2926"/>
      <c r="Q1050" s="1748"/>
      <c r="R1050" s="2221"/>
      <c r="S1050" s="1748"/>
      <c r="T1050" s="679"/>
      <c r="U1050" s="53"/>
      <c r="V1050" s="53"/>
      <c r="W1050" s="53"/>
      <c r="X1050" s="81" t="e">
        <f>SUM(#REF!)</f>
        <v>#REF!</v>
      </c>
      <c r="Y1050" s="576"/>
      <c r="Z1050" s="576"/>
      <c r="AA1050" s="576"/>
      <c r="AB1050" s="576"/>
      <c r="AC1050" s="576"/>
      <c r="AD1050" s="73">
        <v>150000</v>
      </c>
      <c r="AE1050" s="71"/>
      <c r="AF1050" s="72"/>
      <c r="AG1050" s="81">
        <f t="shared" si="66"/>
        <v>150000</v>
      </c>
      <c r="AH1050" s="17" t="e">
        <f t="shared" si="62"/>
        <v>#REF!</v>
      </c>
    </row>
    <row r="1051" spans="8:34" hidden="1">
      <c r="H1051" s="2924"/>
      <c r="I1051" s="2924"/>
      <c r="J1051" s="2924"/>
      <c r="K1051" s="2924"/>
      <c r="L1051" s="2925"/>
      <c r="M1051" s="2925"/>
      <c r="N1051" s="2925"/>
      <c r="O1051" s="2925"/>
      <c r="P1051" s="2926"/>
      <c r="Q1051" s="1748"/>
      <c r="R1051" s="2221"/>
      <c r="S1051" s="1748"/>
      <c r="T1051" s="679"/>
      <c r="U1051" s="53"/>
      <c r="V1051" s="53"/>
      <c r="W1051" s="53"/>
      <c r="X1051" s="81" t="e">
        <f>SUM(#REF!)</f>
        <v>#REF!</v>
      </c>
      <c r="Y1051" s="576"/>
      <c r="Z1051" s="576"/>
      <c r="AA1051" s="576"/>
      <c r="AB1051" s="576"/>
      <c r="AC1051" s="576"/>
      <c r="AD1051" s="82">
        <v>15000</v>
      </c>
      <c r="AE1051" s="71"/>
      <c r="AF1051" s="72"/>
      <c r="AG1051" s="81">
        <f t="shared" si="66"/>
        <v>15000</v>
      </c>
      <c r="AH1051" s="17" t="e">
        <f t="shared" si="62"/>
        <v>#REF!</v>
      </c>
    </row>
    <row r="1052" spans="8:34" hidden="1">
      <c r="H1052" s="2924"/>
      <c r="I1052" s="2924"/>
      <c r="J1052" s="2924"/>
      <c r="K1052" s="2924"/>
      <c r="L1052" s="2925"/>
      <c r="M1052" s="2925"/>
      <c r="N1052" s="2925"/>
      <c r="O1052" s="2925"/>
      <c r="P1052" s="2926"/>
      <c r="Q1052" s="1748"/>
      <c r="R1052" s="2221"/>
      <c r="S1052" s="1748"/>
      <c r="T1052" s="679"/>
      <c r="U1052" s="53"/>
      <c r="V1052" s="53"/>
      <c r="W1052" s="53"/>
      <c r="X1052" s="81" t="e">
        <f>SUM(#REF!)</f>
        <v>#REF!</v>
      </c>
      <c r="Y1052" s="576"/>
      <c r="Z1052" s="576"/>
      <c r="AA1052" s="576"/>
      <c r="AB1052" s="576"/>
      <c r="AC1052" s="576"/>
      <c r="AD1052" s="73">
        <v>60000</v>
      </c>
      <c r="AE1052" s="71"/>
      <c r="AF1052" s="72"/>
      <c r="AG1052" s="81">
        <f t="shared" si="66"/>
        <v>60000</v>
      </c>
      <c r="AH1052" s="17" t="e">
        <f t="shared" si="62"/>
        <v>#REF!</v>
      </c>
    </row>
    <row r="1053" spans="8:34" hidden="1">
      <c r="H1053" s="2909"/>
      <c r="I1053" s="2909"/>
      <c r="J1053" s="2909"/>
      <c r="K1053" s="2909"/>
      <c r="L1053" s="2910"/>
      <c r="M1053" s="2910"/>
      <c r="N1053" s="2910"/>
      <c r="O1053" s="2910"/>
      <c r="P1053" s="2911"/>
      <c r="Q1053" s="1260"/>
      <c r="R1053" s="2216"/>
      <c r="S1053" s="1260"/>
      <c r="T1053" s="446"/>
      <c r="U1053" s="70"/>
      <c r="V1053" s="70"/>
      <c r="W1053" s="70"/>
      <c r="X1053" s="83" t="e">
        <f t="shared" ref="X1053:AG1053" si="67">SUM(X1054:X1059,X1060)</f>
        <v>#REF!</v>
      </c>
      <c r="Y1053" s="680"/>
      <c r="Z1053" s="680"/>
      <c r="AA1053" s="680"/>
      <c r="AB1053" s="680"/>
      <c r="AC1053" s="680"/>
      <c r="AD1053" s="59">
        <f t="shared" si="67"/>
        <v>168000</v>
      </c>
      <c r="AE1053" s="55">
        <f t="shared" si="67"/>
        <v>0</v>
      </c>
      <c r="AF1053" s="56">
        <f t="shared" si="67"/>
        <v>0</v>
      </c>
      <c r="AG1053" s="83">
        <f t="shared" si="67"/>
        <v>168000</v>
      </c>
      <c r="AH1053" s="17" t="e">
        <f t="shared" si="62"/>
        <v>#REF!</v>
      </c>
    </row>
    <row r="1054" spans="8:34" hidden="1">
      <c r="H1054" s="2924"/>
      <c r="I1054" s="2924"/>
      <c r="J1054" s="2924"/>
      <c r="K1054" s="2924"/>
      <c r="L1054" s="2925"/>
      <c r="M1054" s="2925"/>
      <c r="N1054" s="2925"/>
      <c r="O1054" s="2925"/>
      <c r="P1054" s="2926"/>
      <c r="Q1054" s="1748"/>
      <c r="R1054" s="2221"/>
      <c r="S1054" s="1748"/>
      <c r="T1054" s="679"/>
      <c r="U1054" s="53"/>
      <c r="V1054" s="53"/>
      <c r="W1054" s="53"/>
      <c r="X1054" s="81" t="e">
        <f>SUM(#REF!)</f>
        <v>#REF!</v>
      </c>
      <c r="Y1054" s="576"/>
      <c r="Z1054" s="576"/>
      <c r="AA1054" s="576"/>
      <c r="AB1054" s="576"/>
      <c r="AC1054" s="576"/>
      <c r="AD1054" s="73">
        <v>60000</v>
      </c>
      <c r="AE1054" s="71"/>
      <c r="AF1054" s="72"/>
      <c r="AG1054" s="81">
        <f t="shared" ref="AG1054:AG1060" si="68">SUM(AD1054:AF1054)</f>
        <v>60000</v>
      </c>
      <c r="AH1054" s="17" t="e">
        <f t="shared" si="62"/>
        <v>#REF!</v>
      </c>
    </row>
    <row r="1055" spans="8:34" hidden="1">
      <c r="H1055" s="2924"/>
      <c r="I1055" s="2924"/>
      <c r="J1055" s="2924"/>
      <c r="K1055" s="2924"/>
      <c r="L1055" s="2925"/>
      <c r="M1055" s="2925"/>
      <c r="N1055" s="2925"/>
      <c r="O1055" s="2925"/>
      <c r="P1055" s="2926"/>
      <c r="Q1055" s="1748"/>
      <c r="R1055" s="2221"/>
      <c r="S1055" s="1748"/>
      <c r="T1055" s="679"/>
      <c r="U1055" s="53"/>
      <c r="V1055" s="53"/>
      <c r="W1055" s="53"/>
      <c r="X1055" s="81" t="e">
        <f>SUM(#REF!)</f>
        <v>#REF!</v>
      </c>
      <c r="Y1055" s="576"/>
      <c r="Z1055" s="576"/>
      <c r="AA1055" s="576"/>
      <c r="AB1055" s="576"/>
      <c r="AC1055" s="576"/>
      <c r="AD1055" s="73">
        <v>1000</v>
      </c>
      <c r="AE1055" s="71"/>
      <c r="AF1055" s="72"/>
      <c r="AG1055" s="81">
        <f t="shared" si="68"/>
        <v>1000</v>
      </c>
      <c r="AH1055" s="17" t="e">
        <f t="shared" si="62"/>
        <v>#REF!</v>
      </c>
    </row>
    <row r="1056" spans="8:34" hidden="1">
      <c r="H1056" s="2924"/>
      <c r="I1056" s="2924"/>
      <c r="J1056" s="2924"/>
      <c r="K1056" s="2924"/>
      <c r="L1056" s="2925"/>
      <c r="M1056" s="2925"/>
      <c r="N1056" s="2925"/>
      <c r="O1056" s="2925"/>
      <c r="P1056" s="2926"/>
      <c r="Q1056" s="1748"/>
      <c r="R1056" s="2221"/>
      <c r="S1056" s="1748"/>
      <c r="T1056" s="679"/>
      <c r="U1056" s="53"/>
      <c r="V1056" s="53"/>
      <c r="W1056" s="53"/>
      <c r="X1056" s="81" t="e">
        <f>SUM(#REF!)</f>
        <v>#REF!</v>
      </c>
      <c r="Y1056" s="576"/>
      <c r="Z1056" s="576"/>
      <c r="AA1056" s="576"/>
      <c r="AB1056" s="576"/>
      <c r="AC1056" s="576"/>
      <c r="AD1056" s="73">
        <v>12000</v>
      </c>
      <c r="AE1056" s="71"/>
      <c r="AF1056" s="72"/>
      <c r="AG1056" s="81">
        <f t="shared" si="68"/>
        <v>12000</v>
      </c>
      <c r="AH1056" s="17" t="e">
        <f t="shared" si="62"/>
        <v>#REF!</v>
      </c>
    </row>
    <row r="1057" spans="8:34" hidden="1">
      <c r="H1057" s="2924"/>
      <c r="I1057" s="2924"/>
      <c r="J1057" s="2924"/>
      <c r="K1057" s="2924"/>
      <c r="L1057" s="2925"/>
      <c r="M1057" s="2925"/>
      <c r="N1057" s="2925"/>
      <c r="O1057" s="2925"/>
      <c r="P1057" s="2926"/>
      <c r="Q1057" s="1748"/>
      <c r="R1057" s="2221"/>
      <c r="S1057" s="1748"/>
      <c r="T1057" s="679"/>
      <c r="U1057" s="53"/>
      <c r="V1057" s="53"/>
      <c r="W1057" s="53"/>
      <c r="X1057" s="81" t="e">
        <f>SUM(#REF!)</f>
        <v>#REF!</v>
      </c>
      <c r="Y1057" s="576"/>
      <c r="Z1057" s="576"/>
      <c r="AA1057" s="576"/>
      <c r="AB1057" s="576"/>
      <c r="AC1057" s="576"/>
      <c r="AD1057" s="73">
        <v>8000</v>
      </c>
      <c r="AE1057" s="71"/>
      <c r="AF1057" s="72"/>
      <c r="AG1057" s="81">
        <f t="shared" si="68"/>
        <v>8000</v>
      </c>
      <c r="AH1057" s="17" t="e">
        <f t="shared" si="62"/>
        <v>#REF!</v>
      </c>
    </row>
    <row r="1058" spans="8:34" hidden="1">
      <c r="H1058" s="2924"/>
      <c r="I1058" s="2924"/>
      <c r="J1058" s="2924"/>
      <c r="K1058" s="2924"/>
      <c r="L1058" s="2925"/>
      <c r="M1058" s="2925"/>
      <c r="N1058" s="2925"/>
      <c r="O1058" s="2925"/>
      <c r="P1058" s="2926"/>
      <c r="Q1058" s="1748"/>
      <c r="R1058" s="2221"/>
      <c r="S1058" s="1748"/>
      <c r="T1058" s="679"/>
      <c r="U1058" s="53"/>
      <c r="V1058" s="53"/>
      <c r="W1058" s="53"/>
      <c r="X1058" s="81" t="e">
        <f>SUM(#REF!)</f>
        <v>#REF!</v>
      </c>
      <c r="Y1058" s="576"/>
      <c r="Z1058" s="576"/>
      <c r="AA1058" s="576"/>
      <c r="AB1058" s="576"/>
      <c r="AC1058" s="576"/>
      <c r="AD1058" s="73">
        <v>17000</v>
      </c>
      <c r="AE1058" s="71"/>
      <c r="AF1058" s="72"/>
      <c r="AG1058" s="81">
        <f t="shared" si="68"/>
        <v>17000</v>
      </c>
      <c r="AH1058" s="17" t="e">
        <f t="shared" si="62"/>
        <v>#REF!</v>
      </c>
    </row>
    <row r="1059" spans="8:34" hidden="1">
      <c r="H1059" s="2924"/>
      <c r="I1059" s="2924"/>
      <c r="J1059" s="2924"/>
      <c r="K1059" s="2924"/>
      <c r="L1059" s="2925"/>
      <c r="M1059" s="2925"/>
      <c r="N1059" s="2925"/>
      <c r="O1059" s="2925"/>
      <c r="P1059" s="2926"/>
      <c r="Q1059" s="1748"/>
      <c r="R1059" s="2221"/>
      <c r="S1059" s="1748"/>
      <c r="T1059" s="679"/>
      <c r="U1059" s="53"/>
      <c r="V1059" s="53"/>
      <c r="W1059" s="53"/>
      <c r="X1059" s="81" t="e">
        <f>SUM(#REF!)</f>
        <v>#REF!</v>
      </c>
      <c r="Y1059" s="476"/>
      <c r="Z1059" s="476"/>
      <c r="AA1059" s="476"/>
      <c r="AB1059" s="476"/>
      <c r="AC1059" s="476"/>
      <c r="AD1059" s="84">
        <v>10000</v>
      </c>
      <c r="AE1059" s="71"/>
      <c r="AF1059" s="72"/>
      <c r="AG1059" s="81">
        <f t="shared" si="68"/>
        <v>10000</v>
      </c>
      <c r="AH1059" s="17" t="e">
        <f t="shared" si="62"/>
        <v>#REF!</v>
      </c>
    </row>
    <row r="1060" spans="8:34" hidden="1">
      <c r="H1060" s="2924"/>
      <c r="I1060" s="2924"/>
      <c r="J1060" s="2924"/>
      <c r="K1060" s="2924"/>
      <c r="L1060" s="2925"/>
      <c r="M1060" s="2925"/>
      <c r="N1060" s="2925"/>
      <c r="O1060" s="2925"/>
      <c r="P1060" s="2926"/>
      <c r="Q1060" s="1748"/>
      <c r="R1060" s="2221"/>
      <c r="S1060" s="1748"/>
      <c r="T1060" s="679"/>
      <c r="U1060" s="53"/>
      <c r="V1060" s="53"/>
      <c r="W1060" s="53"/>
      <c r="X1060" s="81" t="e">
        <f>SUM(#REF!)</f>
        <v>#REF!</v>
      </c>
      <c r="Y1060" s="576"/>
      <c r="Z1060" s="576"/>
      <c r="AA1060" s="576"/>
      <c r="AB1060" s="576"/>
      <c r="AC1060" s="576"/>
      <c r="AD1060" s="73">
        <v>60000</v>
      </c>
      <c r="AE1060" s="71"/>
      <c r="AF1060" s="72"/>
      <c r="AG1060" s="81">
        <f t="shared" si="68"/>
        <v>60000</v>
      </c>
      <c r="AH1060" s="17" t="e">
        <f t="shared" si="62"/>
        <v>#REF!</v>
      </c>
    </row>
    <row r="1061" spans="8:34" hidden="1">
      <c r="H1061" s="2909"/>
      <c r="I1061" s="2909"/>
      <c r="J1061" s="2909"/>
      <c r="K1061" s="2909"/>
      <c r="L1061" s="2910"/>
      <c r="M1061" s="2910"/>
      <c r="N1061" s="2910"/>
      <c r="O1061" s="2910"/>
      <c r="P1061" s="2911"/>
      <c r="Q1061" s="1260"/>
      <c r="R1061" s="2216"/>
      <c r="S1061" s="1260"/>
      <c r="T1061" s="446"/>
      <c r="U1061" s="70"/>
      <c r="V1061" s="70"/>
      <c r="W1061" s="70"/>
      <c r="X1061" s="19"/>
      <c r="Y1061" s="575"/>
      <c r="Z1061" s="575"/>
      <c r="AA1061" s="575"/>
      <c r="AB1061" s="575"/>
      <c r="AC1061" s="575"/>
      <c r="AD1061" s="59"/>
      <c r="AE1061" s="55"/>
      <c r="AF1061" s="56"/>
      <c r="AG1061" s="19"/>
      <c r="AH1061" s="17" t="e">
        <f t="shared" si="62"/>
        <v>#DIV/0!</v>
      </c>
    </row>
    <row r="1062" spans="8:34" hidden="1">
      <c r="H1062" s="2924"/>
      <c r="I1062" s="2924"/>
      <c r="J1062" s="2924"/>
      <c r="K1062" s="2924"/>
      <c r="L1062" s="2925"/>
      <c r="M1062" s="2925"/>
      <c r="N1062" s="2925"/>
      <c r="O1062" s="2925"/>
      <c r="P1062" s="2926"/>
      <c r="Q1062" s="1748"/>
      <c r="R1062" s="2221"/>
      <c r="S1062" s="1748"/>
      <c r="T1062" s="679"/>
      <c r="U1062" s="53"/>
      <c r="V1062" s="53"/>
      <c r="W1062" s="53"/>
      <c r="X1062" s="19" t="e">
        <f>SUM(#REF!)</f>
        <v>#REF!</v>
      </c>
      <c r="Y1062" s="575"/>
      <c r="Z1062" s="575"/>
      <c r="AA1062" s="575"/>
      <c r="AB1062" s="575"/>
      <c r="AC1062" s="575"/>
      <c r="AD1062" s="78">
        <v>9000</v>
      </c>
      <c r="AE1062" s="71"/>
      <c r="AF1062" s="72"/>
      <c r="AG1062" s="19">
        <f>SUM(AD1062:AF1062)</f>
        <v>9000</v>
      </c>
      <c r="AH1062" s="17" t="e">
        <f t="shared" si="62"/>
        <v>#REF!</v>
      </c>
    </row>
    <row r="1063" spans="8:34" hidden="1">
      <c r="H1063" s="2909"/>
      <c r="I1063" s="2909"/>
      <c r="J1063" s="2909"/>
      <c r="K1063" s="2909"/>
      <c r="L1063" s="2910"/>
      <c r="M1063" s="2910"/>
      <c r="N1063" s="2910"/>
      <c r="O1063" s="2910"/>
      <c r="P1063" s="2911"/>
      <c r="Q1063" s="1260"/>
      <c r="R1063" s="2216"/>
      <c r="S1063" s="1260"/>
      <c r="T1063" s="446"/>
      <c r="U1063" s="70"/>
      <c r="V1063" s="70"/>
      <c r="W1063" s="70"/>
      <c r="X1063" s="83" t="e">
        <f>SUM(X1064:X1066)</f>
        <v>#REF!</v>
      </c>
      <c r="Y1063" s="680"/>
      <c r="Z1063" s="680"/>
      <c r="AA1063" s="680"/>
      <c r="AB1063" s="680"/>
      <c r="AC1063" s="680"/>
      <c r="AD1063" s="59">
        <f>SUM(AD1064:AD1067)</f>
        <v>200000</v>
      </c>
      <c r="AE1063" s="55">
        <f>SUM(AE1065:AE1066)</f>
        <v>0</v>
      </c>
      <c r="AF1063" s="56">
        <f>SUM(AF1065:AF1066)</f>
        <v>0</v>
      </c>
      <c r="AG1063" s="83">
        <f>SUM(AG1064:AG1067)</f>
        <v>200000</v>
      </c>
      <c r="AH1063" s="17" t="e">
        <f t="shared" si="62"/>
        <v>#REF!</v>
      </c>
    </row>
    <row r="1064" spans="8:34" hidden="1">
      <c r="H1064" s="2924"/>
      <c r="I1064" s="2924"/>
      <c r="J1064" s="2924"/>
      <c r="K1064" s="2924"/>
      <c r="L1064" s="2925"/>
      <c r="M1064" s="2925"/>
      <c r="N1064" s="2925"/>
      <c r="O1064" s="2925"/>
      <c r="P1064" s="2926"/>
      <c r="Q1064" s="1748"/>
      <c r="R1064" s="2221"/>
      <c r="S1064" s="1748"/>
      <c r="T1064" s="679"/>
      <c r="U1064" s="53"/>
      <c r="V1064" s="53"/>
      <c r="W1064" s="53"/>
      <c r="X1064" s="81" t="e">
        <f>SUM(#REF!)</f>
        <v>#REF!</v>
      </c>
      <c r="Y1064" s="576"/>
      <c r="Z1064" s="576"/>
      <c r="AA1064" s="576"/>
      <c r="AB1064" s="576"/>
      <c r="AC1064" s="576"/>
      <c r="AD1064" s="52"/>
      <c r="AE1064" s="71"/>
      <c r="AF1064" s="72"/>
      <c r="AG1064" s="81">
        <f>SUM(AD1064:AF1064)</f>
        <v>0</v>
      </c>
      <c r="AH1064" s="17" t="e">
        <f t="shared" si="62"/>
        <v>#REF!</v>
      </c>
    </row>
    <row r="1065" spans="8:34" hidden="1">
      <c r="H1065" s="2924"/>
      <c r="I1065" s="2924"/>
      <c r="J1065" s="2924"/>
      <c r="K1065" s="2924"/>
      <c r="L1065" s="2925"/>
      <c r="M1065" s="2925"/>
      <c r="N1065" s="2925"/>
      <c r="O1065" s="2925"/>
      <c r="P1065" s="2926"/>
      <c r="Q1065" s="1748"/>
      <c r="R1065" s="2221"/>
      <c r="S1065" s="1748"/>
      <c r="T1065" s="679"/>
      <c r="U1065" s="53"/>
      <c r="V1065" s="53"/>
      <c r="W1065" s="53"/>
      <c r="X1065" s="81" t="e">
        <f>SUM(#REF!)</f>
        <v>#REF!</v>
      </c>
      <c r="Y1065" s="576"/>
      <c r="Z1065" s="576"/>
      <c r="AA1065" s="576"/>
      <c r="AB1065" s="576"/>
      <c r="AC1065" s="576"/>
      <c r="AD1065" s="52">
        <v>100000</v>
      </c>
      <c r="AE1065" s="71"/>
      <c r="AF1065" s="72"/>
      <c r="AG1065" s="81">
        <f t="shared" ref="AG1065:AG1067" si="69">SUM(AD1065:AF1065)</f>
        <v>100000</v>
      </c>
      <c r="AH1065" s="17" t="e">
        <f t="shared" si="62"/>
        <v>#REF!</v>
      </c>
    </row>
    <row r="1066" spans="8:34" hidden="1">
      <c r="H1066" s="2924"/>
      <c r="I1066" s="2924"/>
      <c r="J1066" s="2924"/>
      <c r="K1066" s="2924"/>
      <c r="L1066" s="2925"/>
      <c r="M1066" s="2925"/>
      <c r="N1066" s="2925"/>
      <c r="O1066" s="2925"/>
      <c r="P1066" s="2926"/>
      <c r="Q1066" s="1748"/>
      <c r="R1066" s="2221"/>
      <c r="S1066" s="1748"/>
      <c r="T1066" s="679"/>
      <c r="U1066" s="53"/>
      <c r="V1066" s="53"/>
      <c r="W1066" s="53"/>
      <c r="X1066" s="81" t="e">
        <f>SUM(#REF!)</f>
        <v>#REF!</v>
      </c>
      <c r="Y1066" s="576"/>
      <c r="Z1066" s="576"/>
      <c r="AA1066" s="576"/>
      <c r="AB1066" s="576"/>
      <c r="AC1066" s="576"/>
      <c r="AD1066" s="52"/>
      <c r="AE1066" s="71"/>
      <c r="AF1066" s="72"/>
      <c r="AG1066" s="81">
        <f t="shared" si="69"/>
        <v>0</v>
      </c>
      <c r="AH1066" s="17" t="e">
        <f t="shared" si="62"/>
        <v>#REF!</v>
      </c>
    </row>
    <row r="1067" spans="8:34" hidden="1">
      <c r="H1067" s="2924"/>
      <c r="I1067" s="2924"/>
      <c r="J1067" s="2924"/>
      <c r="K1067" s="2924"/>
      <c r="L1067" s="2925"/>
      <c r="M1067" s="2925"/>
      <c r="N1067" s="2925"/>
      <c r="O1067" s="2925"/>
      <c r="P1067" s="2926"/>
      <c r="Q1067" s="1748"/>
      <c r="R1067" s="2221"/>
      <c r="S1067" s="1748"/>
      <c r="T1067" s="679"/>
      <c r="U1067" s="53"/>
      <c r="V1067" s="53"/>
      <c r="W1067" s="53"/>
      <c r="X1067" s="81"/>
      <c r="Y1067" s="576"/>
      <c r="Z1067" s="576"/>
      <c r="AA1067" s="576"/>
      <c r="AB1067" s="576"/>
      <c r="AC1067" s="576"/>
      <c r="AD1067" s="52">
        <v>100000</v>
      </c>
      <c r="AE1067" s="71"/>
      <c r="AF1067" s="72"/>
      <c r="AG1067" s="81">
        <f t="shared" si="69"/>
        <v>100000</v>
      </c>
      <c r="AH1067" s="17"/>
    </row>
    <row r="1068" spans="8:34" hidden="1">
      <c r="H1068" s="2909"/>
      <c r="I1068" s="2909"/>
      <c r="J1068" s="2909"/>
      <c r="K1068" s="2909"/>
      <c r="L1068" s="2910"/>
      <c r="M1068" s="2910"/>
      <c r="N1068" s="2910"/>
      <c r="O1068" s="2910"/>
      <c r="P1068" s="2911"/>
      <c r="Q1068" s="1260"/>
      <c r="R1068" s="2216"/>
      <c r="S1068" s="1260"/>
      <c r="T1068" s="446"/>
      <c r="U1068" s="70"/>
      <c r="V1068" s="70"/>
      <c r="W1068" s="70"/>
      <c r="X1068" s="70" t="e">
        <f>SUM(X1069,X1095:X1103,X1094)</f>
        <v>#REF!</v>
      </c>
      <c r="Y1068" s="446"/>
      <c r="Z1068" s="446"/>
      <c r="AA1068" s="446"/>
      <c r="AB1068" s="446"/>
      <c r="AC1068" s="446"/>
      <c r="AD1068" s="59">
        <f>SUM(AD1069,AD1095:AD1103)</f>
        <v>0</v>
      </c>
      <c r="AE1068" s="55">
        <f>SUM(AE1069,AE1095:AE1103,AE1094)</f>
        <v>1687600</v>
      </c>
      <c r="AF1068" s="56">
        <f>SUM(AF1069,AF1095:AF1103)</f>
        <v>0</v>
      </c>
      <c r="AG1068" s="70">
        <f>SUM(AG1069,AG1095:AG1103,AG1094)</f>
        <v>1687600</v>
      </c>
      <c r="AH1068" s="17" t="e">
        <f t="shared" ref="AH1068:AH1075" si="70">AG1068/X1068*100</f>
        <v>#REF!</v>
      </c>
    </row>
    <row r="1069" spans="8:34" hidden="1">
      <c r="H1069" s="2909"/>
      <c r="I1069" s="2909"/>
      <c r="J1069" s="2909"/>
      <c r="K1069" s="2909"/>
      <c r="L1069" s="2910"/>
      <c r="M1069" s="2910"/>
      <c r="N1069" s="2910"/>
      <c r="O1069" s="2910"/>
      <c r="P1069" s="2911"/>
      <c r="Q1069" s="1260"/>
      <c r="R1069" s="2216"/>
      <c r="S1069" s="1260"/>
      <c r="T1069" s="446"/>
      <c r="U1069" s="70"/>
      <c r="V1069" s="70"/>
      <c r="W1069" s="70"/>
      <c r="X1069" s="83" t="e">
        <f>SUM(X1070:X1085,)</f>
        <v>#REF!</v>
      </c>
      <c r="Y1069" s="680"/>
      <c r="Z1069" s="680"/>
      <c r="AA1069" s="680"/>
      <c r="AB1069" s="680"/>
      <c r="AC1069" s="680"/>
      <c r="AD1069" s="59">
        <f>SUM(AD1070:AD1085)</f>
        <v>0</v>
      </c>
      <c r="AE1069" s="55">
        <f>SUM(AE1070:AE1085)</f>
        <v>935600</v>
      </c>
      <c r="AF1069" s="56">
        <f>SUM(AF1070:AF1085)</f>
        <v>0</v>
      </c>
      <c r="AG1069" s="83">
        <f>SUM(AG1070:AG1085,)</f>
        <v>935600</v>
      </c>
      <c r="AH1069" s="17" t="e">
        <f t="shared" si="70"/>
        <v>#REF!</v>
      </c>
    </row>
    <row r="1070" spans="8:34" hidden="1">
      <c r="H1070" s="2933"/>
      <c r="I1070" s="2933"/>
      <c r="J1070" s="2933"/>
      <c r="K1070" s="2933"/>
      <c r="L1070" s="2934"/>
      <c r="M1070" s="2934"/>
      <c r="N1070" s="2934"/>
      <c r="O1070" s="2934"/>
      <c r="P1070" s="2935"/>
      <c r="Q1070" s="1751"/>
      <c r="R1070" s="2221"/>
      <c r="S1070" s="1751"/>
      <c r="T1070" s="1147"/>
      <c r="U1070" s="968"/>
      <c r="V1070" s="968"/>
      <c r="W1070" s="968"/>
      <c r="X1070" s="88" t="e">
        <f>SUM(#REF!)</f>
        <v>#REF!</v>
      </c>
      <c r="Y1070" s="681"/>
      <c r="Z1070" s="681"/>
      <c r="AA1070" s="681"/>
      <c r="AB1070" s="681"/>
      <c r="AC1070" s="681"/>
      <c r="AD1070" s="89"/>
      <c r="AE1070" s="86">
        <v>260600</v>
      </c>
      <c r="AF1070" s="87"/>
      <c r="AG1070" s="88">
        <f>SUM(AD1070:AF1070)</f>
        <v>260600</v>
      </c>
      <c r="AH1070" s="17" t="e">
        <f t="shared" si="70"/>
        <v>#REF!</v>
      </c>
    </row>
    <row r="1071" spans="8:34" hidden="1">
      <c r="H1071" s="2933"/>
      <c r="I1071" s="2933"/>
      <c r="J1071" s="2933"/>
      <c r="K1071" s="2933"/>
      <c r="L1071" s="2934"/>
      <c r="M1071" s="2934"/>
      <c r="N1071" s="2934"/>
      <c r="O1071" s="2934"/>
      <c r="P1071" s="2935"/>
      <c r="Q1071" s="1751"/>
      <c r="R1071" s="2221"/>
      <c r="S1071" s="1751"/>
      <c r="T1071" s="1147"/>
      <c r="U1071" s="968"/>
      <c r="V1071" s="968"/>
      <c r="W1071" s="968"/>
      <c r="X1071" s="88" t="e">
        <f>SUM(#REF!)</f>
        <v>#REF!</v>
      </c>
      <c r="Y1071" s="681"/>
      <c r="Z1071" s="681"/>
      <c r="AA1071" s="681"/>
      <c r="AB1071" s="681"/>
      <c r="AC1071" s="681"/>
      <c r="AD1071" s="85"/>
      <c r="AE1071" s="86"/>
      <c r="AF1071" s="87"/>
      <c r="AG1071" s="88">
        <f t="shared" ref="AG1071:AG1084" si="71">SUM(AD1071:AF1071)</f>
        <v>0</v>
      </c>
      <c r="AH1071" s="17" t="e">
        <f t="shared" si="70"/>
        <v>#REF!</v>
      </c>
    </row>
    <row r="1072" spans="8:34" hidden="1">
      <c r="H1072" s="2933"/>
      <c r="I1072" s="2933"/>
      <c r="J1072" s="2933"/>
      <c r="K1072" s="2933"/>
      <c r="L1072" s="2934"/>
      <c r="M1072" s="2934"/>
      <c r="N1072" s="2934"/>
      <c r="O1072" s="2934"/>
      <c r="P1072" s="2935"/>
      <c r="Q1072" s="1751"/>
      <c r="R1072" s="2221"/>
      <c r="S1072" s="1751"/>
      <c r="T1072" s="1147"/>
      <c r="U1072" s="968"/>
      <c r="V1072" s="968"/>
      <c r="W1072" s="968"/>
      <c r="X1072" s="88" t="e">
        <f>SUM(#REF!)</f>
        <v>#REF!</v>
      </c>
      <c r="Y1072" s="681"/>
      <c r="Z1072" s="681"/>
      <c r="AA1072" s="681"/>
      <c r="AB1072" s="681"/>
      <c r="AC1072" s="681"/>
      <c r="AD1072" s="85"/>
      <c r="AE1072" s="86">
        <v>100000</v>
      </c>
      <c r="AF1072" s="87"/>
      <c r="AG1072" s="88">
        <f t="shared" si="71"/>
        <v>100000</v>
      </c>
      <c r="AH1072" s="17" t="e">
        <f t="shared" si="70"/>
        <v>#REF!</v>
      </c>
    </row>
    <row r="1073" spans="8:34" hidden="1">
      <c r="H1073" s="2933"/>
      <c r="I1073" s="2933"/>
      <c r="J1073" s="2933"/>
      <c r="K1073" s="2933"/>
      <c r="L1073" s="2934"/>
      <c r="M1073" s="2934"/>
      <c r="N1073" s="2934"/>
      <c r="O1073" s="2934"/>
      <c r="P1073" s="2935"/>
      <c r="Q1073" s="1751"/>
      <c r="R1073" s="2221"/>
      <c r="S1073" s="1751"/>
      <c r="T1073" s="1147"/>
      <c r="U1073" s="968"/>
      <c r="V1073" s="968"/>
      <c r="W1073" s="968"/>
      <c r="X1073" s="88" t="e">
        <f>SUM(#REF!)</f>
        <v>#REF!</v>
      </c>
      <c r="Y1073" s="681"/>
      <c r="Z1073" s="681"/>
      <c r="AA1073" s="681"/>
      <c r="AB1073" s="681"/>
      <c r="AC1073" s="681"/>
      <c r="AD1073" s="85"/>
      <c r="AE1073" s="86"/>
      <c r="AF1073" s="87"/>
      <c r="AG1073" s="88">
        <f t="shared" si="71"/>
        <v>0</v>
      </c>
      <c r="AH1073" s="17" t="e">
        <f t="shared" si="70"/>
        <v>#REF!</v>
      </c>
    </row>
    <row r="1074" spans="8:34" hidden="1">
      <c r="H1074" s="2933"/>
      <c r="I1074" s="2933"/>
      <c r="J1074" s="2933"/>
      <c r="K1074" s="2933"/>
      <c r="L1074" s="2934"/>
      <c r="M1074" s="2934"/>
      <c r="N1074" s="2934"/>
      <c r="O1074" s="2934"/>
      <c r="P1074" s="2935"/>
      <c r="Q1074" s="1751"/>
      <c r="R1074" s="2221"/>
      <c r="S1074" s="1751"/>
      <c r="T1074" s="1147"/>
      <c r="U1074" s="968"/>
      <c r="V1074" s="968"/>
      <c r="W1074" s="968"/>
      <c r="X1074" s="88" t="e">
        <f>SUM(#REF!)</f>
        <v>#REF!</v>
      </c>
      <c r="Y1074" s="681"/>
      <c r="Z1074" s="681"/>
      <c r="AA1074" s="681"/>
      <c r="AB1074" s="681"/>
      <c r="AC1074" s="681"/>
      <c r="AD1074" s="85"/>
      <c r="AE1074" s="86">
        <v>80000</v>
      </c>
      <c r="AF1074" s="87"/>
      <c r="AG1074" s="88">
        <f t="shared" si="71"/>
        <v>80000</v>
      </c>
      <c r="AH1074" s="17" t="e">
        <f t="shared" si="70"/>
        <v>#REF!</v>
      </c>
    </row>
    <row r="1075" spans="8:34" hidden="1">
      <c r="H1075" s="2936"/>
      <c r="I1075" s="2936"/>
      <c r="J1075" s="2936"/>
      <c r="K1075" s="2936"/>
      <c r="L1075" s="2937"/>
      <c r="M1075" s="2937"/>
      <c r="N1075" s="2937"/>
      <c r="O1075" s="2937"/>
      <c r="P1075" s="2938"/>
      <c r="Q1075" s="1752"/>
      <c r="R1075" s="2221"/>
      <c r="S1075" s="1752"/>
      <c r="T1075" s="1148"/>
      <c r="U1075" s="969"/>
      <c r="V1075" s="969"/>
      <c r="W1075" s="969"/>
      <c r="X1075" s="93" t="e">
        <f>SUM(#REF!)</f>
        <v>#REF!</v>
      </c>
      <c r="Y1075" s="682"/>
      <c r="Z1075" s="682"/>
      <c r="AA1075" s="682"/>
      <c r="AB1075" s="682"/>
      <c r="AC1075" s="682"/>
      <c r="AD1075" s="91"/>
      <c r="AE1075" s="90">
        <v>50000</v>
      </c>
      <c r="AF1075" s="92"/>
      <c r="AG1075" s="93">
        <f t="shared" si="71"/>
        <v>50000</v>
      </c>
      <c r="AH1075" s="17" t="e">
        <f t="shared" si="70"/>
        <v>#REF!</v>
      </c>
    </row>
    <row r="1076" spans="8:34" hidden="1">
      <c r="H1076" s="2933"/>
      <c r="I1076" s="2933"/>
      <c r="J1076" s="2933"/>
      <c r="K1076" s="2933"/>
      <c r="L1076" s="2934"/>
      <c r="M1076" s="2934"/>
      <c r="N1076" s="2934"/>
      <c r="O1076" s="2934"/>
      <c r="P1076" s="2935"/>
      <c r="Q1076" s="1751"/>
      <c r="R1076" s="2221"/>
      <c r="S1076" s="1751"/>
      <c r="T1076" s="1147"/>
      <c r="U1076" s="968"/>
      <c r="V1076" s="968"/>
      <c r="W1076" s="968"/>
      <c r="X1076" s="88"/>
      <c r="Y1076" s="681"/>
      <c r="Z1076" s="681"/>
      <c r="AA1076" s="681"/>
      <c r="AB1076" s="681"/>
      <c r="AC1076" s="681"/>
      <c r="AD1076" s="85"/>
      <c r="AE1076" s="86">
        <v>100000</v>
      </c>
      <c r="AF1076" s="87"/>
      <c r="AG1076" s="88">
        <f t="shared" si="71"/>
        <v>100000</v>
      </c>
      <c r="AH1076" s="94"/>
    </row>
    <row r="1077" spans="8:34" hidden="1">
      <c r="H1077" s="2933"/>
      <c r="I1077" s="2933"/>
      <c r="J1077" s="2933"/>
      <c r="K1077" s="2933"/>
      <c r="L1077" s="2934"/>
      <c r="M1077" s="2934"/>
      <c r="N1077" s="2934"/>
      <c r="O1077" s="2934"/>
      <c r="P1077" s="2935"/>
      <c r="Q1077" s="1751"/>
      <c r="R1077" s="2221"/>
      <c r="S1077" s="1751"/>
      <c r="T1077" s="1147"/>
      <c r="U1077" s="968"/>
      <c r="V1077" s="968"/>
      <c r="W1077" s="968"/>
      <c r="X1077" s="88" t="e">
        <f>SUM(#REF!)</f>
        <v>#REF!</v>
      </c>
      <c r="Y1077" s="681"/>
      <c r="Z1077" s="681"/>
      <c r="AA1077" s="681"/>
      <c r="AB1077" s="681"/>
      <c r="AC1077" s="681"/>
      <c r="AD1077" s="85"/>
      <c r="AE1077" s="86"/>
      <c r="AF1077" s="87"/>
      <c r="AG1077" s="88">
        <f t="shared" si="71"/>
        <v>0</v>
      </c>
      <c r="AH1077" s="17" t="e">
        <f t="shared" ref="AH1077:AH1088" si="72">AG1077/X1077*100</f>
        <v>#REF!</v>
      </c>
    </row>
    <row r="1078" spans="8:34" hidden="1">
      <c r="H1078" s="2936"/>
      <c r="I1078" s="2936"/>
      <c r="J1078" s="2936"/>
      <c r="K1078" s="2936"/>
      <c r="L1078" s="2937"/>
      <c r="M1078" s="2937"/>
      <c r="N1078" s="2937"/>
      <c r="O1078" s="2937"/>
      <c r="P1078" s="2938"/>
      <c r="Q1078" s="1752"/>
      <c r="R1078" s="2221"/>
      <c r="S1078" s="1752"/>
      <c r="T1078" s="1148"/>
      <c r="U1078" s="969"/>
      <c r="V1078" s="969"/>
      <c r="W1078" s="969"/>
      <c r="X1078" s="93" t="e">
        <f>SUM(#REF!)</f>
        <v>#REF!</v>
      </c>
      <c r="Y1078" s="682"/>
      <c r="Z1078" s="682"/>
      <c r="AA1078" s="682"/>
      <c r="AB1078" s="682"/>
      <c r="AC1078" s="682"/>
      <c r="AD1078" s="91"/>
      <c r="AE1078" s="90">
        <v>50000</v>
      </c>
      <c r="AF1078" s="92"/>
      <c r="AG1078" s="93">
        <f t="shared" si="71"/>
        <v>50000</v>
      </c>
      <c r="AH1078" s="17" t="e">
        <f t="shared" si="72"/>
        <v>#REF!</v>
      </c>
    </row>
    <row r="1079" spans="8:34" hidden="1">
      <c r="H1079" s="2933"/>
      <c r="I1079" s="2933"/>
      <c r="J1079" s="2933"/>
      <c r="K1079" s="2933"/>
      <c r="L1079" s="2934"/>
      <c r="M1079" s="2934"/>
      <c r="N1079" s="2934"/>
      <c r="O1079" s="2934"/>
      <c r="P1079" s="2935"/>
      <c r="Q1079" s="1751"/>
      <c r="R1079" s="2221"/>
      <c r="S1079" s="1751"/>
      <c r="T1079" s="1147"/>
      <c r="U1079" s="968"/>
      <c r="V1079" s="968"/>
      <c r="W1079" s="968"/>
      <c r="X1079" s="88" t="e">
        <f>SUM(#REF!)</f>
        <v>#REF!</v>
      </c>
      <c r="Y1079" s="681"/>
      <c r="Z1079" s="681"/>
      <c r="AA1079" s="681"/>
      <c r="AB1079" s="681"/>
      <c r="AC1079" s="681"/>
      <c r="AD1079" s="85"/>
      <c r="AE1079" s="95">
        <v>50000</v>
      </c>
      <c r="AF1079" s="87"/>
      <c r="AG1079" s="88">
        <f t="shared" si="71"/>
        <v>50000</v>
      </c>
      <c r="AH1079" s="17" t="e">
        <f t="shared" si="72"/>
        <v>#REF!</v>
      </c>
    </row>
    <row r="1080" spans="8:34" hidden="1">
      <c r="H1080" s="2933"/>
      <c r="I1080" s="2933"/>
      <c r="J1080" s="2933"/>
      <c r="K1080" s="2933"/>
      <c r="L1080" s="2934"/>
      <c r="M1080" s="2934"/>
      <c r="N1080" s="2934"/>
      <c r="O1080" s="2934"/>
      <c r="P1080" s="2935"/>
      <c r="Q1080" s="1751"/>
      <c r="R1080" s="2221"/>
      <c r="S1080" s="1751"/>
      <c r="T1080" s="1147"/>
      <c r="U1080" s="968"/>
      <c r="V1080" s="968"/>
      <c r="W1080" s="968"/>
      <c r="X1080" s="88" t="e">
        <f>SUM(#REF!)</f>
        <v>#REF!</v>
      </c>
      <c r="Y1080" s="681"/>
      <c r="Z1080" s="681"/>
      <c r="AA1080" s="681"/>
      <c r="AB1080" s="681"/>
      <c r="AC1080" s="681"/>
      <c r="AD1080" s="85"/>
      <c r="AE1080" s="86"/>
      <c r="AF1080" s="87"/>
      <c r="AG1080" s="88">
        <f t="shared" si="71"/>
        <v>0</v>
      </c>
      <c r="AH1080" s="17" t="e">
        <f t="shared" si="72"/>
        <v>#REF!</v>
      </c>
    </row>
    <row r="1081" spans="8:34" hidden="1">
      <c r="H1081" s="2933"/>
      <c r="I1081" s="2933"/>
      <c r="J1081" s="2933"/>
      <c r="K1081" s="2933"/>
      <c r="L1081" s="2934"/>
      <c r="M1081" s="2934"/>
      <c r="N1081" s="2934"/>
      <c r="O1081" s="2934"/>
      <c r="P1081" s="2935"/>
      <c r="Q1081" s="1751"/>
      <c r="R1081" s="2221"/>
      <c r="S1081" s="1751"/>
      <c r="T1081" s="1147"/>
      <c r="U1081" s="968"/>
      <c r="V1081" s="968"/>
      <c r="W1081" s="968"/>
      <c r="X1081" s="88" t="e">
        <f>SUM(#REF!)</f>
        <v>#REF!</v>
      </c>
      <c r="Y1081" s="681"/>
      <c r="Z1081" s="681"/>
      <c r="AA1081" s="681"/>
      <c r="AB1081" s="681"/>
      <c r="AC1081" s="681"/>
      <c r="AD1081" s="85"/>
      <c r="AE1081" s="86">
        <v>75000</v>
      </c>
      <c r="AF1081" s="87"/>
      <c r="AG1081" s="88">
        <f t="shared" si="71"/>
        <v>75000</v>
      </c>
      <c r="AH1081" s="17" t="e">
        <f t="shared" si="72"/>
        <v>#REF!</v>
      </c>
    </row>
    <row r="1082" spans="8:34" hidden="1">
      <c r="H1082" s="2933"/>
      <c r="I1082" s="2933"/>
      <c r="J1082" s="2933"/>
      <c r="K1082" s="2933"/>
      <c r="L1082" s="2934"/>
      <c r="M1082" s="2934"/>
      <c r="N1082" s="2934"/>
      <c r="O1082" s="2934"/>
      <c r="P1082" s="2935"/>
      <c r="Q1082" s="1751"/>
      <c r="R1082" s="2221"/>
      <c r="S1082" s="1751"/>
      <c r="T1082" s="1147"/>
      <c r="U1082" s="968"/>
      <c r="V1082" s="968"/>
      <c r="W1082" s="968"/>
      <c r="X1082" s="88" t="e">
        <f>SUM(#REF!)</f>
        <v>#REF!</v>
      </c>
      <c r="Y1082" s="681"/>
      <c r="Z1082" s="681"/>
      <c r="AA1082" s="681"/>
      <c r="AB1082" s="681"/>
      <c r="AC1082" s="681"/>
      <c r="AD1082" s="85"/>
      <c r="AE1082" s="86"/>
      <c r="AF1082" s="87"/>
      <c r="AG1082" s="88">
        <f t="shared" si="71"/>
        <v>0</v>
      </c>
      <c r="AH1082" s="17" t="e">
        <f t="shared" si="72"/>
        <v>#REF!</v>
      </c>
    </row>
    <row r="1083" spans="8:34" hidden="1">
      <c r="H1083" s="2936"/>
      <c r="I1083" s="2936"/>
      <c r="J1083" s="2936"/>
      <c r="K1083" s="2936"/>
      <c r="L1083" s="2937"/>
      <c r="M1083" s="2937"/>
      <c r="N1083" s="2937"/>
      <c r="O1083" s="2937"/>
      <c r="P1083" s="2938"/>
      <c r="Q1083" s="1752"/>
      <c r="R1083" s="2221"/>
      <c r="S1083" s="1752"/>
      <c r="T1083" s="1148"/>
      <c r="U1083" s="969"/>
      <c r="V1083" s="969"/>
      <c r="W1083" s="969"/>
      <c r="X1083" s="93" t="e">
        <f>SUM(#REF!)</f>
        <v>#REF!</v>
      </c>
      <c r="Y1083" s="682"/>
      <c r="Z1083" s="682"/>
      <c r="AA1083" s="682"/>
      <c r="AB1083" s="682"/>
      <c r="AC1083" s="682"/>
      <c r="AD1083" s="91"/>
      <c r="AE1083" s="90">
        <v>37000</v>
      </c>
      <c r="AF1083" s="92"/>
      <c r="AG1083" s="93">
        <f t="shared" si="71"/>
        <v>37000</v>
      </c>
      <c r="AH1083" s="17" t="e">
        <f t="shared" si="72"/>
        <v>#REF!</v>
      </c>
    </row>
    <row r="1084" spans="8:34" hidden="1">
      <c r="H1084" s="2936"/>
      <c r="I1084" s="2936"/>
      <c r="J1084" s="2936"/>
      <c r="K1084" s="2936"/>
      <c r="L1084" s="2937"/>
      <c r="M1084" s="2937"/>
      <c r="N1084" s="2937"/>
      <c r="O1084" s="2937"/>
      <c r="P1084" s="2938"/>
      <c r="Q1084" s="1752"/>
      <c r="R1084" s="2221"/>
      <c r="S1084" s="1752"/>
      <c r="T1084" s="1148"/>
      <c r="U1084" s="969"/>
      <c r="V1084" s="969"/>
      <c r="W1084" s="969"/>
      <c r="X1084" s="93" t="e">
        <f>SUM(#REF!)</f>
        <v>#REF!</v>
      </c>
      <c r="Y1084" s="682"/>
      <c r="Z1084" s="682"/>
      <c r="AA1084" s="682"/>
      <c r="AB1084" s="682"/>
      <c r="AC1084" s="682"/>
      <c r="AD1084" s="91"/>
      <c r="AE1084" s="90">
        <v>6000</v>
      </c>
      <c r="AF1084" s="92"/>
      <c r="AG1084" s="93">
        <f t="shared" si="71"/>
        <v>6000</v>
      </c>
      <c r="AH1084" s="17" t="e">
        <f t="shared" si="72"/>
        <v>#REF!</v>
      </c>
    </row>
    <row r="1085" spans="8:34" hidden="1">
      <c r="H1085" s="2909"/>
      <c r="I1085" s="2909"/>
      <c r="J1085" s="2909"/>
      <c r="K1085" s="2909"/>
      <c r="L1085" s="2910"/>
      <c r="M1085" s="2910"/>
      <c r="N1085" s="2910"/>
      <c r="O1085" s="2910"/>
      <c r="P1085" s="2911"/>
      <c r="Q1085" s="1260"/>
      <c r="R1085" s="2216"/>
      <c r="S1085" s="1260"/>
      <c r="T1085" s="446"/>
      <c r="U1085" s="70"/>
      <c r="V1085" s="70"/>
      <c r="W1085" s="70"/>
      <c r="X1085" s="83" t="e">
        <f t="shared" ref="X1085:AG1085" si="73">SUM(X1086:X1093)</f>
        <v>#REF!</v>
      </c>
      <c r="Y1085" s="680"/>
      <c r="Z1085" s="680"/>
      <c r="AA1085" s="680"/>
      <c r="AB1085" s="680"/>
      <c r="AC1085" s="680"/>
      <c r="AD1085" s="54">
        <f t="shared" si="73"/>
        <v>0</v>
      </c>
      <c r="AE1085" s="55">
        <f t="shared" si="73"/>
        <v>127000</v>
      </c>
      <c r="AF1085" s="56">
        <f t="shared" si="73"/>
        <v>0</v>
      </c>
      <c r="AG1085" s="83">
        <f t="shared" si="73"/>
        <v>127000</v>
      </c>
      <c r="AH1085" s="17" t="e">
        <f t="shared" si="72"/>
        <v>#REF!</v>
      </c>
    </row>
    <row r="1086" spans="8:34" hidden="1">
      <c r="H1086" s="2936"/>
      <c r="I1086" s="2936"/>
      <c r="J1086" s="2936"/>
      <c r="K1086" s="2936"/>
      <c r="L1086" s="2937"/>
      <c r="M1086" s="2937"/>
      <c r="N1086" s="2937"/>
      <c r="O1086" s="2937"/>
      <c r="P1086" s="2938"/>
      <c r="Q1086" s="1752"/>
      <c r="R1086" s="2221"/>
      <c r="S1086" s="1752"/>
      <c r="T1086" s="1148"/>
      <c r="U1086" s="969"/>
      <c r="V1086" s="969"/>
      <c r="W1086" s="969"/>
      <c r="X1086" s="93" t="e">
        <f>SUM(#REF!)</f>
        <v>#REF!</v>
      </c>
      <c r="Y1086" s="682"/>
      <c r="Z1086" s="682"/>
      <c r="AA1086" s="682"/>
      <c r="AB1086" s="682"/>
      <c r="AC1086" s="682"/>
      <c r="AD1086" s="91"/>
      <c r="AE1086" s="96">
        <v>20000</v>
      </c>
      <c r="AF1086" s="92"/>
      <c r="AG1086" s="93">
        <f t="shared" ref="AG1086:AG1100" si="74">SUM(AD1086:AF1086)</f>
        <v>20000</v>
      </c>
      <c r="AH1086" s="17" t="e">
        <f t="shared" si="72"/>
        <v>#REF!</v>
      </c>
    </row>
    <row r="1087" spans="8:34" hidden="1">
      <c r="H1087" s="2933"/>
      <c r="I1087" s="2933"/>
      <c r="J1087" s="2933"/>
      <c r="K1087" s="2933"/>
      <c r="L1087" s="2934"/>
      <c r="M1087" s="2934"/>
      <c r="N1087" s="2934"/>
      <c r="O1087" s="2934"/>
      <c r="P1087" s="2935"/>
      <c r="Q1087" s="1751"/>
      <c r="R1087" s="2221"/>
      <c r="S1087" s="1751"/>
      <c r="T1087" s="1147"/>
      <c r="U1087" s="968"/>
      <c r="V1087" s="968"/>
      <c r="W1087" s="968"/>
      <c r="X1087" s="88" t="e">
        <f>SUM(#REF!)</f>
        <v>#REF!</v>
      </c>
      <c r="Y1087" s="681"/>
      <c r="Z1087" s="681"/>
      <c r="AA1087" s="681"/>
      <c r="AB1087" s="681"/>
      <c r="AC1087" s="681"/>
      <c r="AD1087" s="85"/>
      <c r="AE1087" s="86">
        <v>20000</v>
      </c>
      <c r="AF1087" s="87"/>
      <c r="AG1087" s="88">
        <f t="shared" si="74"/>
        <v>20000</v>
      </c>
      <c r="AH1087" s="17" t="e">
        <f t="shared" si="72"/>
        <v>#REF!</v>
      </c>
    </row>
    <row r="1088" spans="8:34" hidden="1">
      <c r="H1088" s="2933"/>
      <c r="I1088" s="2933"/>
      <c r="J1088" s="2933"/>
      <c r="K1088" s="2933"/>
      <c r="L1088" s="2934"/>
      <c r="M1088" s="2934"/>
      <c r="N1088" s="2934"/>
      <c r="O1088" s="2934"/>
      <c r="P1088" s="2935"/>
      <c r="Q1088" s="1751"/>
      <c r="R1088" s="2221"/>
      <c r="S1088" s="1751"/>
      <c r="T1088" s="1147"/>
      <c r="U1088" s="968"/>
      <c r="V1088" s="968"/>
      <c r="W1088" s="968"/>
      <c r="X1088" s="88" t="e">
        <f>SUM(#REF!)</f>
        <v>#REF!</v>
      </c>
      <c r="Y1088" s="681"/>
      <c r="Z1088" s="681"/>
      <c r="AA1088" s="681"/>
      <c r="AB1088" s="681"/>
      <c r="AC1088" s="681"/>
      <c r="AD1088" s="85"/>
      <c r="AE1088" s="86">
        <v>60000</v>
      </c>
      <c r="AF1088" s="87"/>
      <c r="AG1088" s="88">
        <f t="shared" si="74"/>
        <v>60000</v>
      </c>
      <c r="AH1088" s="17" t="e">
        <f t="shared" si="72"/>
        <v>#REF!</v>
      </c>
    </row>
    <row r="1089" spans="8:34" hidden="1">
      <c r="H1089" s="2933"/>
      <c r="I1089" s="2933"/>
      <c r="J1089" s="2933"/>
      <c r="K1089" s="2933"/>
      <c r="L1089" s="2934"/>
      <c r="M1089" s="2934"/>
      <c r="N1089" s="2934"/>
      <c r="O1089" s="2934"/>
      <c r="P1089" s="2935"/>
      <c r="Q1089" s="1751"/>
      <c r="R1089" s="2221"/>
      <c r="S1089" s="1751"/>
      <c r="T1089" s="1147"/>
      <c r="U1089" s="968"/>
      <c r="V1089" s="968"/>
      <c r="W1089" s="968"/>
      <c r="X1089" s="88" t="e">
        <f>SUM(#REF!)</f>
        <v>#REF!</v>
      </c>
      <c r="Y1089" s="681"/>
      <c r="Z1089" s="681"/>
      <c r="AA1089" s="681"/>
      <c r="AB1089" s="681"/>
      <c r="AC1089" s="681"/>
      <c r="AD1089" s="85"/>
      <c r="AE1089" s="86"/>
      <c r="AF1089" s="87"/>
      <c r="AG1089" s="88">
        <f t="shared" si="74"/>
        <v>0</v>
      </c>
      <c r="AH1089" s="17"/>
    </row>
    <row r="1090" spans="8:34" hidden="1">
      <c r="H1090" s="2933"/>
      <c r="I1090" s="2933"/>
      <c r="J1090" s="2933"/>
      <c r="K1090" s="2933"/>
      <c r="L1090" s="2934"/>
      <c r="M1090" s="2934"/>
      <c r="N1090" s="2934"/>
      <c r="O1090" s="2934"/>
      <c r="P1090" s="2935"/>
      <c r="Q1090" s="1751"/>
      <c r="R1090" s="2221"/>
      <c r="S1090" s="1751"/>
      <c r="T1090" s="1147"/>
      <c r="U1090" s="968"/>
      <c r="V1090" s="968"/>
      <c r="W1090" s="968"/>
      <c r="X1090" s="88" t="e">
        <f>SUM(#REF!)</f>
        <v>#REF!</v>
      </c>
      <c r="Y1090" s="681"/>
      <c r="Z1090" s="681"/>
      <c r="AA1090" s="681"/>
      <c r="AB1090" s="681"/>
      <c r="AC1090" s="681"/>
      <c r="AD1090" s="85"/>
      <c r="AE1090" s="95">
        <v>10000</v>
      </c>
      <c r="AF1090" s="87"/>
      <c r="AG1090" s="88">
        <f t="shared" si="74"/>
        <v>10000</v>
      </c>
      <c r="AH1090" s="17" t="e">
        <f t="shared" ref="AH1090:AH1111" si="75">AG1090/X1090*100</f>
        <v>#REF!</v>
      </c>
    </row>
    <row r="1091" spans="8:34" hidden="1">
      <c r="H1091" s="2933"/>
      <c r="I1091" s="2933"/>
      <c r="J1091" s="2933"/>
      <c r="K1091" s="2933"/>
      <c r="L1091" s="2934"/>
      <c r="M1091" s="2934"/>
      <c r="N1091" s="2934"/>
      <c r="O1091" s="2934"/>
      <c r="P1091" s="2935"/>
      <c r="Q1091" s="1751"/>
      <c r="R1091" s="2221"/>
      <c r="S1091" s="1751"/>
      <c r="T1091" s="1147"/>
      <c r="U1091" s="968"/>
      <c r="V1091" s="968"/>
      <c r="W1091" s="968"/>
      <c r="X1091" s="88" t="e">
        <f>SUM(#REF!)</f>
        <v>#REF!</v>
      </c>
      <c r="Y1091" s="681"/>
      <c r="Z1091" s="681"/>
      <c r="AA1091" s="681"/>
      <c r="AB1091" s="681"/>
      <c r="AC1091" s="681"/>
      <c r="AD1091" s="85"/>
      <c r="AE1091" s="86"/>
      <c r="AF1091" s="87"/>
      <c r="AG1091" s="88">
        <f t="shared" si="74"/>
        <v>0</v>
      </c>
      <c r="AH1091" s="17" t="e">
        <f t="shared" si="75"/>
        <v>#REF!</v>
      </c>
    </row>
    <row r="1092" spans="8:34" hidden="1">
      <c r="H1092" s="2936"/>
      <c r="I1092" s="2936"/>
      <c r="J1092" s="2936"/>
      <c r="K1092" s="2936"/>
      <c r="L1092" s="2937"/>
      <c r="M1092" s="2937"/>
      <c r="N1092" s="2937"/>
      <c r="O1092" s="2937"/>
      <c r="P1092" s="2938"/>
      <c r="Q1092" s="1752"/>
      <c r="R1092" s="2221"/>
      <c r="S1092" s="1752"/>
      <c r="T1092" s="1148"/>
      <c r="U1092" s="969"/>
      <c r="V1092" s="969"/>
      <c r="W1092" s="969"/>
      <c r="X1092" s="93" t="e">
        <f>SUM(#REF!)</f>
        <v>#REF!</v>
      </c>
      <c r="Y1092" s="682"/>
      <c r="Z1092" s="682"/>
      <c r="AA1092" s="682"/>
      <c r="AB1092" s="682"/>
      <c r="AC1092" s="682"/>
      <c r="AD1092" s="91"/>
      <c r="AE1092" s="90">
        <v>5000</v>
      </c>
      <c r="AF1092" s="92"/>
      <c r="AG1092" s="93">
        <f t="shared" si="74"/>
        <v>5000</v>
      </c>
      <c r="AH1092" s="17" t="e">
        <f t="shared" si="75"/>
        <v>#REF!</v>
      </c>
    </row>
    <row r="1093" spans="8:34" hidden="1">
      <c r="H1093" s="2936"/>
      <c r="I1093" s="2936"/>
      <c r="J1093" s="2936"/>
      <c r="K1093" s="2936"/>
      <c r="L1093" s="2937"/>
      <c r="M1093" s="2937"/>
      <c r="N1093" s="2937"/>
      <c r="O1093" s="2937"/>
      <c r="P1093" s="2938"/>
      <c r="Q1093" s="1752"/>
      <c r="R1093" s="2221"/>
      <c r="S1093" s="1752"/>
      <c r="T1093" s="1148"/>
      <c r="U1093" s="969"/>
      <c r="V1093" s="969"/>
      <c r="W1093" s="969"/>
      <c r="X1093" s="93" t="e">
        <f>SUM(#REF!)</f>
        <v>#REF!</v>
      </c>
      <c r="Y1093" s="682"/>
      <c r="Z1093" s="682"/>
      <c r="AA1093" s="682"/>
      <c r="AB1093" s="682"/>
      <c r="AC1093" s="682"/>
      <c r="AD1093" s="91"/>
      <c r="AE1093" s="90">
        <v>12000</v>
      </c>
      <c r="AF1093" s="92"/>
      <c r="AG1093" s="93">
        <f t="shared" si="74"/>
        <v>12000</v>
      </c>
      <c r="AH1093" s="17" t="e">
        <f t="shared" si="75"/>
        <v>#REF!</v>
      </c>
    </row>
    <row r="1094" spans="8:34" hidden="1">
      <c r="H1094" s="2939"/>
      <c r="I1094" s="2939"/>
      <c r="J1094" s="2939"/>
      <c r="K1094" s="2939"/>
      <c r="L1094" s="2940"/>
      <c r="M1094" s="2940"/>
      <c r="N1094" s="2940"/>
      <c r="O1094" s="2940"/>
      <c r="P1094" s="2941"/>
      <c r="Q1094" s="1753"/>
      <c r="R1094" s="2216"/>
      <c r="S1094" s="1753"/>
      <c r="T1094" s="1149"/>
      <c r="U1094" s="970"/>
      <c r="V1094" s="970"/>
      <c r="W1094" s="970"/>
      <c r="X1094" s="100" t="e">
        <f>SUM(#REF!)</f>
        <v>#REF!</v>
      </c>
      <c r="Y1094" s="683"/>
      <c r="Z1094" s="683"/>
      <c r="AA1094" s="683"/>
      <c r="AB1094" s="683"/>
      <c r="AC1094" s="683"/>
      <c r="AD1094" s="97"/>
      <c r="AE1094" s="98">
        <v>15000</v>
      </c>
      <c r="AF1094" s="99"/>
      <c r="AG1094" s="100">
        <f t="shared" si="74"/>
        <v>15000</v>
      </c>
      <c r="AH1094" s="17" t="e">
        <f t="shared" si="75"/>
        <v>#REF!</v>
      </c>
    </row>
    <row r="1095" spans="8:34" hidden="1">
      <c r="H1095" s="2939"/>
      <c r="I1095" s="2939"/>
      <c r="J1095" s="2939"/>
      <c r="K1095" s="2939"/>
      <c r="L1095" s="2940"/>
      <c r="M1095" s="2940"/>
      <c r="N1095" s="2940"/>
      <c r="O1095" s="2940"/>
      <c r="P1095" s="2941"/>
      <c r="Q1095" s="1753"/>
      <c r="R1095" s="2216"/>
      <c r="S1095" s="1753"/>
      <c r="T1095" s="1149"/>
      <c r="U1095" s="970"/>
      <c r="V1095" s="970"/>
      <c r="W1095" s="970"/>
      <c r="X1095" s="100" t="e">
        <f>SUM(#REF!)</f>
        <v>#REF!</v>
      </c>
      <c r="Y1095" s="683"/>
      <c r="Z1095" s="683"/>
      <c r="AA1095" s="683"/>
      <c r="AB1095" s="683"/>
      <c r="AC1095" s="683"/>
      <c r="AD1095" s="97"/>
      <c r="AE1095" s="98">
        <v>20000</v>
      </c>
      <c r="AF1095" s="99"/>
      <c r="AG1095" s="100">
        <f t="shared" si="74"/>
        <v>20000</v>
      </c>
      <c r="AH1095" s="17" t="e">
        <f t="shared" si="75"/>
        <v>#REF!</v>
      </c>
    </row>
    <row r="1096" spans="8:34" hidden="1">
      <c r="H1096" s="2939"/>
      <c r="I1096" s="2939"/>
      <c r="J1096" s="2939"/>
      <c r="K1096" s="2939"/>
      <c r="L1096" s="2940"/>
      <c r="M1096" s="2940"/>
      <c r="N1096" s="2940"/>
      <c r="O1096" s="2940"/>
      <c r="P1096" s="2941"/>
      <c r="Q1096" s="1753"/>
      <c r="R1096" s="2216"/>
      <c r="S1096" s="1753"/>
      <c r="T1096" s="1149"/>
      <c r="U1096" s="970"/>
      <c r="V1096" s="970"/>
      <c r="W1096" s="970"/>
      <c r="X1096" s="100" t="e">
        <f>SUM(#REF!)</f>
        <v>#REF!</v>
      </c>
      <c r="Y1096" s="683"/>
      <c r="Z1096" s="683"/>
      <c r="AA1096" s="683"/>
      <c r="AB1096" s="683"/>
      <c r="AC1096" s="683"/>
      <c r="AD1096" s="97"/>
      <c r="AE1096" s="98"/>
      <c r="AF1096" s="99"/>
      <c r="AG1096" s="100">
        <f t="shared" si="74"/>
        <v>0</v>
      </c>
      <c r="AH1096" s="17" t="e">
        <f t="shared" si="75"/>
        <v>#REF!</v>
      </c>
    </row>
    <row r="1097" spans="8:34" hidden="1">
      <c r="H1097" s="2939"/>
      <c r="I1097" s="2939"/>
      <c r="J1097" s="2939"/>
      <c r="K1097" s="2939"/>
      <c r="L1097" s="2940"/>
      <c r="M1097" s="2940"/>
      <c r="N1097" s="2940"/>
      <c r="O1097" s="2940"/>
      <c r="P1097" s="2941"/>
      <c r="Q1097" s="1753"/>
      <c r="R1097" s="2216"/>
      <c r="S1097" s="1753"/>
      <c r="T1097" s="1149"/>
      <c r="U1097" s="970"/>
      <c r="V1097" s="970"/>
      <c r="W1097" s="970"/>
      <c r="X1097" s="100" t="e">
        <f>SUM(#REF!)</f>
        <v>#REF!</v>
      </c>
      <c r="Y1097" s="683"/>
      <c r="Z1097" s="683"/>
      <c r="AA1097" s="683"/>
      <c r="AB1097" s="683"/>
      <c r="AC1097" s="683"/>
      <c r="AD1097" s="97"/>
      <c r="AE1097" s="98"/>
      <c r="AF1097" s="99"/>
      <c r="AG1097" s="100">
        <f t="shared" si="74"/>
        <v>0</v>
      </c>
      <c r="AH1097" s="17" t="e">
        <f t="shared" si="75"/>
        <v>#REF!</v>
      </c>
    </row>
    <row r="1098" spans="8:34" hidden="1">
      <c r="H1098" s="2939"/>
      <c r="I1098" s="2939"/>
      <c r="J1098" s="2939"/>
      <c r="K1098" s="2939"/>
      <c r="L1098" s="2940"/>
      <c r="M1098" s="2940"/>
      <c r="N1098" s="2940"/>
      <c r="O1098" s="2940"/>
      <c r="P1098" s="2941"/>
      <c r="Q1098" s="1753"/>
      <c r="R1098" s="2216"/>
      <c r="S1098" s="1753"/>
      <c r="T1098" s="1149"/>
      <c r="U1098" s="970"/>
      <c r="V1098" s="970"/>
      <c r="W1098" s="970"/>
      <c r="X1098" s="100" t="e">
        <f>SUM(#REF!)</f>
        <v>#REF!</v>
      </c>
      <c r="Y1098" s="683"/>
      <c r="Z1098" s="683"/>
      <c r="AA1098" s="683"/>
      <c r="AB1098" s="683"/>
      <c r="AC1098" s="683"/>
      <c r="AD1098" s="97"/>
      <c r="AE1098" s="98"/>
      <c r="AF1098" s="99"/>
      <c r="AG1098" s="100">
        <f t="shared" si="74"/>
        <v>0</v>
      </c>
      <c r="AH1098" s="17" t="e">
        <f t="shared" si="75"/>
        <v>#REF!</v>
      </c>
    </row>
    <row r="1099" spans="8:34" hidden="1">
      <c r="H1099" s="2939"/>
      <c r="I1099" s="2939"/>
      <c r="J1099" s="2939"/>
      <c r="K1099" s="2939"/>
      <c r="L1099" s="2940"/>
      <c r="M1099" s="2940"/>
      <c r="N1099" s="2940"/>
      <c r="O1099" s="2940"/>
      <c r="P1099" s="2941"/>
      <c r="Q1099" s="1753"/>
      <c r="R1099" s="2216"/>
      <c r="S1099" s="1753"/>
      <c r="T1099" s="1149"/>
      <c r="U1099" s="970"/>
      <c r="V1099" s="970"/>
      <c r="W1099" s="970"/>
      <c r="X1099" s="100" t="e">
        <f>SUM(#REF!)</f>
        <v>#REF!</v>
      </c>
      <c r="Y1099" s="683"/>
      <c r="Z1099" s="683"/>
      <c r="AA1099" s="683"/>
      <c r="AB1099" s="683"/>
      <c r="AC1099" s="683"/>
      <c r="AD1099" s="97"/>
      <c r="AE1099" s="98"/>
      <c r="AF1099" s="99"/>
      <c r="AG1099" s="100">
        <f t="shared" si="74"/>
        <v>0</v>
      </c>
      <c r="AH1099" s="17" t="e">
        <f t="shared" si="75"/>
        <v>#REF!</v>
      </c>
    </row>
    <row r="1100" spans="8:34" hidden="1">
      <c r="H1100" s="2939"/>
      <c r="I1100" s="2939"/>
      <c r="J1100" s="2939"/>
      <c r="K1100" s="2939"/>
      <c r="L1100" s="2940"/>
      <c r="M1100" s="2940"/>
      <c r="N1100" s="2940"/>
      <c r="O1100" s="2940"/>
      <c r="P1100" s="2941"/>
      <c r="Q1100" s="1753"/>
      <c r="R1100" s="2216"/>
      <c r="S1100" s="1753"/>
      <c r="T1100" s="1149"/>
      <c r="U1100" s="970"/>
      <c r="V1100" s="970"/>
      <c r="W1100" s="970"/>
      <c r="X1100" s="100" t="e">
        <f>SUM(#REF!)</f>
        <v>#REF!</v>
      </c>
      <c r="Y1100" s="683"/>
      <c r="Z1100" s="683"/>
      <c r="AA1100" s="683"/>
      <c r="AB1100" s="683"/>
      <c r="AC1100" s="683"/>
      <c r="AD1100" s="97"/>
      <c r="AE1100" s="98"/>
      <c r="AF1100" s="99"/>
      <c r="AG1100" s="100">
        <f t="shared" si="74"/>
        <v>0</v>
      </c>
      <c r="AH1100" s="17" t="e">
        <f t="shared" si="75"/>
        <v>#REF!</v>
      </c>
    </row>
    <row r="1101" spans="8:34" hidden="1">
      <c r="H1101" s="2909"/>
      <c r="I1101" s="2909"/>
      <c r="J1101" s="2909"/>
      <c r="K1101" s="2909"/>
      <c r="L1101" s="2910"/>
      <c r="M1101" s="2910"/>
      <c r="N1101" s="2910"/>
      <c r="O1101" s="2910"/>
      <c r="P1101" s="2911"/>
      <c r="Q1101" s="1260"/>
      <c r="R1101" s="2216"/>
      <c r="S1101" s="1260"/>
      <c r="T1101" s="446"/>
      <c r="U1101" s="70"/>
      <c r="V1101" s="70"/>
      <c r="W1101" s="70"/>
      <c r="X1101" s="19"/>
      <c r="Y1101" s="575"/>
      <c r="Z1101" s="575"/>
      <c r="AA1101" s="575"/>
      <c r="AB1101" s="575"/>
      <c r="AC1101" s="575"/>
      <c r="AD1101" s="54"/>
      <c r="AE1101" s="101"/>
      <c r="AF1101" s="56"/>
      <c r="AG1101" s="19"/>
      <c r="AH1101" s="17" t="e">
        <f t="shared" si="75"/>
        <v>#DIV/0!</v>
      </c>
    </row>
    <row r="1102" spans="8:34" hidden="1">
      <c r="H1102" s="2909"/>
      <c r="I1102" s="2909"/>
      <c r="J1102" s="2909"/>
      <c r="K1102" s="2909"/>
      <c r="L1102" s="2910"/>
      <c r="M1102" s="2910"/>
      <c r="N1102" s="2910"/>
      <c r="O1102" s="2910"/>
      <c r="P1102" s="2911"/>
      <c r="Q1102" s="1260"/>
      <c r="R1102" s="2216"/>
      <c r="S1102" s="1260"/>
      <c r="T1102" s="446"/>
      <c r="U1102" s="70"/>
      <c r="V1102" s="70"/>
      <c r="W1102" s="70"/>
      <c r="X1102" s="19"/>
      <c r="Y1102" s="575"/>
      <c r="Z1102" s="575"/>
      <c r="AA1102" s="575"/>
      <c r="AB1102" s="575"/>
      <c r="AC1102" s="575"/>
      <c r="AD1102" s="54"/>
      <c r="AE1102" s="101"/>
      <c r="AF1102" s="56"/>
      <c r="AG1102" s="19"/>
      <c r="AH1102" s="17" t="e">
        <f t="shared" si="75"/>
        <v>#DIV/0!</v>
      </c>
    </row>
    <row r="1103" spans="8:34" hidden="1">
      <c r="H1103" s="2909"/>
      <c r="I1103" s="2909"/>
      <c r="J1103" s="2909"/>
      <c r="K1103" s="2909"/>
      <c r="L1103" s="2910"/>
      <c r="M1103" s="2910"/>
      <c r="N1103" s="2910"/>
      <c r="O1103" s="2910"/>
      <c r="P1103" s="2911"/>
      <c r="Q1103" s="1260"/>
      <c r="R1103" s="2216"/>
      <c r="S1103" s="1260"/>
      <c r="T1103" s="446"/>
      <c r="U1103" s="70"/>
      <c r="V1103" s="70"/>
      <c r="W1103" s="70"/>
      <c r="X1103" s="83" t="e">
        <f t="shared" ref="X1103:AG1103" si="76">SUM(X1104:X1110)</f>
        <v>#REF!</v>
      </c>
      <c r="Y1103" s="680"/>
      <c r="Z1103" s="680"/>
      <c r="AA1103" s="680"/>
      <c r="AB1103" s="680"/>
      <c r="AC1103" s="680"/>
      <c r="AD1103" s="54">
        <f t="shared" si="76"/>
        <v>0</v>
      </c>
      <c r="AE1103" s="55">
        <f t="shared" si="76"/>
        <v>717000</v>
      </c>
      <c r="AF1103" s="56">
        <f t="shared" si="76"/>
        <v>0</v>
      </c>
      <c r="AG1103" s="83">
        <f t="shared" si="76"/>
        <v>717000</v>
      </c>
      <c r="AH1103" s="17" t="e">
        <f t="shared" si="75"/>
        <v>#REF!</v>
      </c>
    </row>
    <row r="1104" spans="8:34" hidden="1">
      <c r="H1104" s="2933"/>
      <c r="I1104" s="2933"/>
      <c r="J1104" s="2933"/>
      <c r="K1104" s="2933"/>
      <c r="L1104" s="2934"/>
      <c r="M1104" s="2934"/>
      <c r="N1104" s="2934"/>
      <c r="O1104" s="2934"/>
      <c r="P1104" s="2935"/>
      <c r="Q1104" s="1751"/>
      <c r="R1104" s="2221"/>
      <c r="S1104" s="1751"/>
      <c r="T1104" s="1147"/>
      <c r="U1104" s="968"/>
      <c r="V1104" s="968"/>
      <c r="W1104" s="968"/>
      <c r="X1104" s="88" t="e">
        <f>SUM(#REF!)</f>
        <v>#REF!</v>
      </c>
      <c r="Y1104" s="681"/>
      <c r="Z1104" s="681"/>
      <c r="AA1104" s="681"/>
      <c r="AB1104" s="681"/>
      <c r="AC1104" s="681"/>
      <c r="AD1104" s="85"/>
      <c r="AE1104" s="102">
        <v>200000</v>
      </c>
      <c r="AF1104" s="87"/>
      <c r="AG1104" s="88">
        <f t="shared" ref="AG1104:AG1110" si="77">SUM(AD1104:AF1104)</f>
        <v>200000</v>
      </c>
      <c r="AH1104" s="17" t="e">
        <f t="shared" si="75"/>
        <v>#REF!</v>
      </c>
    </row>
    <row r="1105" spans="8:34" hidden="1">
      <c r="H1105" s="2933"/>
      <c r="I1105" s="2933"/>
      <c r="J1105" s="2933"/>
      <c r="K1105" s="2933"/>
      <c r="L1105" s="2934"/>
      <c r="M1105" s="2934"/>
      <c r="N1105" s="2934"/>
      <c r="O1105" s="2934"/>
      <c r="P1105" s="2935"/>
      <c r="Q1105" s="1751"/>
      <c r="R1105" s="2221"/>
      <c r="S1105" s="1751"/>
      <c r="T1105" s="1147"/>
      <c r="U1105" s="968"/>
      <c r="V1105" s="968"/>
      <c r="W1105" s="968"/>
      <c r="X1105" s="88" t="e">
        <f>SUM(#REF!)</f>
        <v>#REF!</v>
      </c>
      <c r="Y1105" s="681"/>
      <c r="Z1105" s="681"/>
      <c r="AA1105" s="681"/>
      <c r="AB1105" s="681"/>
      <c r="AC1105" s="681"/>
      <c r="AD1105" s="85"/>
      <c r="AE1105" s="102">
        <v>250000</v>
      </c>
      <c r="AF1105" s="87"/>
      <c r="AG1105" s="88">
        <f t="shared" si="77"/>
        <v>250000</v>
      </c>
      <c r="AH1105" s="17" t="e">
        <f t="shared" si="75"/>
        <v>#REF!</v>
      </c>
    </row>
    <row r="1106" spans="8:34" hidden="1">
      <c r="H1106" s="2933"/>
      <c r="I1106" s="2933"/>
      <c r="J1106" s="2933"/>
      <c r="K1106" s="2933"/>
      <c r="L1106" s="2934"/>
      <c r="M1106" s="2934"/>
      <c r="N1106" s="2934"/>
      <c r="O1106" s="2934"/>
      <c r="P1106" s="2935"/>
      <c r="Q1106" s="1751"/>
      <c r="R1106" s="2221"/>
      <c r="S1106" s="1751"/>
      <c r="T1106" s="1147"/>
      <c r="U1106" s="968"/>
      <c r="V1106" s="968"/>
      <c r="W1106" s="968"/>
      <c r="X1106" s="88" t="e">
        <f>SUM(#REF!)</f>
        <v>#REF!</v>
      </c>
      <c r="Y1106" s="681"/>
      <c r="Z1106" s="681"/>
      <c r="AA1106" s="681"/>
      <c r="AB1106" s="681"/>
      <c r="AC1106" s="681"/>
      <c r="AD1106" s="85"/>
      <c r="AE1106" s="102"/>
      <c r="AF1106" s="87"/>
      <c r="AG1106" s="88">
        <f t="shared" si="77"/>
        <v>0</v>
      </c>
      <c r="AH1106" s="17" t="e">
        <f t="shared" si="75"/>
        <v>#REF!</v>
      </c>
    </row>
    <row r="1107" spans="8:34" hidden="1">
      <c r="H1107" s="2936"/>
      <c r="I1107" s="2936"/>
      <c r="J1107" s="2936"/>
      <c r="K1107" s="2936"/>
      <c r="L1107" s="2937"/>
      <c r="M1107" s="2937"/>
      <c r="N1107" s="2937"/>
      <c r="O1107" s="2937"/>
      <c r="P1107" s="2938"/>
      <c r="Q1107" s="1752"/>
      <c r="R1107" s="2221"/>
      <c r="S1107" s="1752"/>
      <c r="T1107" s="1148"/>
      <c r="U1107" s="969"/>
      <c r="V1107" s="969"/>
      <c r="W1107" s="969"/>
      <c r="X1107" s="93" t="e">
        <f>SUM(#REF!)</f>
        <v>#REF!</v>
      </c>
      <c r="Y1107" s="682"/>
      <c r="Z1107" s="682"/>
      <c r="AA1107" s="682"/>
      <c r="AB1107" s="682"/>
      <c r="AC1107" s="682"/>
      <c r="AD1107" s="91"/>
      <c r="AE1107" s="103">
        <v>267000</v>
      </c>
      <c r="AF1107" s="92"/>
      <c r="AG1107" s="88">
        <f t="shared" si="77"/>
        <v>267000</v>
      </c>
      <c r="AH1107" s="17" t="e">
        <f t="shared" si="75"/>
        <v>#REF!</v>
      </c>
    </row>
    <row r="1108" spans="8:34" hidden="1">
      <c r="H1108" s="2933"/>
      <c r="I1108" s="2933"/>
      <c r="J1108" s="2933"/>
      <c r="K1108" s="2933"/>
      <c r="L1108" s="2934"/>
      <c r="M1108" s="2934"/>
      <c r="N1108" s="2934"/>
      <c r="O1108" s="2934"/>
      <c r="P1108" s="2935"/>
      <c r="Q1108" s="1751"/>
      <c r="R1108" s="2221"/>
      <c r="S1108" s="1751"/>
      <c r="T1108" s="1147"/>
      <c r="U1108" s="968"/>
      <c r="V1108" s="968"/>
      <c r="W1108" s="968"/>
      <c r="X1108" s="88" t="e">
        <f>SUM(#REF!)</f>
        <v>#REF!</v>
      </c>
      <c r="Y1108" s="681"/>
      <c r="Z1108" s="681"/>
      <c r="AA1108" s="681"/>
      <c r="AB1108" s="681"/>
      <c r="AC1108" s="681"/>
      <c r="AD1108" s="85"/>
      <c r="AE1108" s="102"/>
      <c r="AF1108" s="87"/>
      <c r="AG1108" s="88">
        <f t="shared" si="77"/>
        <v>0</v>
      </c>
      <c r="AH1108" s="17" t="e">
        <f t="shared" si="75"/>
        <v>#REF!</v>
      </c>
    </row>
    <row r="1109" spans="8:34" hidden="1">
      <c r="H1109" s="2936"/>
      <c r="I1109" s="2936"/>
      <c r="J1109" s="2936"/>
      <c r="K1109" s="2936"/>
      <c r="L1109" s="2937"/>
      <c r="M1109" s="2937"/>
      <c r="N1109" s="2937"/>
      <c r="O1109" s="2937"/>
      <c r="P1109" s="2938"/>
      <c r="Q1109" s="1752"/>
      <c r="R1109" s="2221"/>
      <c r="S1109" s="1752"/>
      <c r="T1109" s="1148"/>
      <c r="U1109" s="969"/>
      <c r="V1109" s="969"/>
      <c r="W1109" s="969"/>
      <c r="X1109" s="93" t="e">
        <f>SUM(#REF!)</f>
        <v>#REF!</v>
      </c>
      <c r="Y1109" s="682"/>
      <c r="Z1109" s="682"/>
      <c r="AA1109" s="682"/>
      <c r="AB1109" s="682"/>
      <c r="AC1109" s="682"/>
      <c r="AD1109" s="91"/>
      <c r="AE1109" s="103"/>
      <c r="AF1109" s="92"/>
      <c r="AG1109" s="93">
        <f t="shared" si="77"/>
        <v>0</v>
      </c>
      <c r="AH1109" s="17" t="e">
        <f t="shared" si="75"/>
        <v>#REF!</v>
      </c>
    </row>
    <row r="1110" spans="8:34" hidden="1">
      <c r="H1110" s="2936"/>
      <c r="I1110" s="2936"/>
      <c r="J1110" s="2936"/>
      <c r="K1110" s="2936"/>
      <c r="L1110" s="2937"/>
      <c r="M1110" s="2937"/>
      <c r="N1110" s="2937"/>
      <c r="O1110" s="2937"/>
      <c r="P1110" s="2938"/>
      <c r="Q1110" s="1752"/>
      <c r="R1110" s="2221"/>
      <c r="S1110" s="1752"/>
      <c r="T1110" s="1148"/>
      <c r="U1110" s="969"/>
      <c r="V1110" s="969"/>
      <c r="W1110" s="969"/>
      <c r="X1110" s="93" t="e">
        <f>SUM(#REF!)</f>
        <v>#REF!</v>
      </c>
      <c r="Y1110" s="682"/>
      <c r="Z1110" s="682"/>
      <c r="AA1110" s="682"/>
      <c r="AB1110" s="682"/>
      <c r="AC1110" s="682"/>
      <c r="AD1110" s="91"/>
      <c r="AE1110" s="103"/>
      <c r="AF1110" s="92"/>
      <c r="AG1110" s="93">
        <f t="shared" si="77"/>
        <v>0</v>
      </c>
      <c r="AH1110" s="17" t="e">
        <f t="shared" si="75"/>
        <v>#REF!</v>
      </c>
    </row>
    <row r="1111" spans="8:34" hidden="1">
      <c r="H1111" s="2921"/>
      <c r="I1111" s="2921"/>
      <c r="J1111" s="2921"/>
      <c r="K1111" s="2921"/>
      <c r="L1111" s="2922"/>
      <c r="M1111" s="2922"/>
      <c r="N1111" s="2922"/>
      <c r="O1111" s="2922"/>
      <c r="P1111" s="2923"/>
      <c r="Q1111" s="1511"/>
      <c r="R1111" s="2220"/>
      <c r="S1111" s="1511"/>
      <c r="T1111" s="572"/>
      <c r="U1111" s="12"/>
      <c r="V1111" s="12"/>
      <c r="W1111" s="12"/>
      <c r="X1111" s="12" t="e">
        <f>SUM(X1113,X1147:X1154)</f>
        <v>#REF!</v>
      </c>
      <c r="Y1111" s="572"/>
      <c r="Z1111" s="572"/>
      <c r="AA1111" s="572"/>
      <c r="AB1111" s="572"/>
      <c r="AC1111" s="572"/>
      <c r="AD1111" s="21">
        <f>SUM(AD1113,AD1147,AD1152,AD1154,AD1146)</f>
        <v>3945500</v>
      </c>
      <c r="AE1111" s="5">
        <f>SUM(AE1148:AE1154)</f>
        <v>2400000</v>
      </c>
      <c r="AF1111" s="22">
        <f>SUM(AF1113,AF1147,AF1152,AF1154,)</f>
        <v>0</v>
      </c>
      <c r="AG1111" s="12">
        <f>SUM(AG1113,AG1147:AG1154,AG1146)</f>
        <v>6345500</v>
      </c>
      <c r="AH1111" s="41" t="e">
        <f t="shared" si="75"/>
        <v>#REF!</v>
      </c>
    </row>
    <row r="1112" spans="8:34" hidden="1">
      <c r="H1112" s="2921"/>
      <c r="I1112" s="2921"/>
      <c r="J1112" s="2921"/>
      <c r="K1112" s="2921"/>
      <c r="L1112" s="2922"/>
      <c r="M1112" s="2922"/>
      <c r="N1112" s="2922"/>
      <c r="O1112" s="2922"/>
      <c r="P1112" s="2923"/>
      <c r="Q1112" s="1511"/>
      <c r="R1112" s="2220"/>
      <c r="S1112" s="1511"/>
      <c r="T1112" s="572"/>
      <c r="U1112" s="12"/>
      <c r="V1112" s="12"/>
      <c r="W1112" s="12"/>
      <c r="X1112" s="12"/>
      <c r="Y1112" s="572"/>
      <c r="Z1112" s="572"/>
      <c r="AA1112" s="572"/>
      <c r="AB1112" s="572"/>
      <c r="AC1112" s="572"/>
      <c r="AD1112" s="21">
        <v>46</v>
      </c>
      <c r="AE1112" s="5"/>
      <c r="AF1112" s="22"/>
      <c r="AG1112" s="12"/>
      <c r="AH1112" s="41"/>
    </row>
    <row r="1113" spans="8:34" hidden="1">
      <c r="H1113" s="2909"/>
      <c r="I1113" s="2909"/>
      <c r="J1113" s="2909"/>
      <c r="K1113" s="2909"/>
      <c r="L1113" s="2910"/>
      <c r="M1113" s="2910"/>
      <c r="N1113" s="2910"/>
      <c r="O1113" s="2910"/>
      <c r="P1113" s="2911"/>
      <c r="Q1113" s="1260"/>
      <c r="R1113" s="2216"/>
      <c r="S1113" s="1260"/>
      <c r="T1113" s="446"/>
      <c r="U1113" s="70"/>
      <c r="V1113" s="70"/>
      <c r="W1113" s="70"/>
      <c r="X1113" s="70" t="e">
        <f>SUM(X1114,X1123,X1125,)</f>
        <v>#REF!</v>
      </c>
      <c r="Y1113" s="446"/>
      <c r="Z1113" s="446"/>
      <c r="AA1113" s="446"/>
      <c r="AB1113" s="446"/>
      <c r="AC1113" s="446"/>
      <c r="AD1113" s="54">
        <f>SUM(AD1114,AD1123,AD1125,AD1149)</f>
        <v>3495500</v>
      </c>
      <c r="AE1113" s="55"/>
      <c r="AF1113" s="56">
        <f>SUM(AF1114,AF1123,AF1125,AF1148)</f>
        <v>0</v>
      </c>
      <c r="AG1113" s="70">
        <f>SUM(AG1114,AG1123,AG1125,)</f>
        <v>3495500</v>
      </c>
      <c r="AH1113" s="17" t="e">
        <f t="shared" ref="AH1113:AH1145" si="78">AG1113/X1113*100</f>
        <v>#REF!</v>
      </c>
    </row>
    <row r="1114" spans="8:34" hidden="1">
      <c r="H1114" s="2909"/>
      <c r="I1114" s="2909"/>
      <c r="J1114" s="2909"/>
      <c r="K1114" s="2909"/>
      <c r="L1114" s="2910"/>
      <c r="M1114" s="2910"/>
      <c r="N1114" s="2910"/>
      <c r="O1114" s="2910"/>
      <c r="P1114" s="2911"/>
      <c r="Q1114" s="1260"/>
      <c r="R1114" s="2216"/>
      <c r="S1114" s="1260"/>
      <c r="T1114" s="446"/>
      <c r="U1114" s="70"/>
      <c r="V1114" s="70"/>
      <c r="W1114" s="70"/>
      <c r="X1114" s="70" t="e">
        <f t="shared" ref="X1114:AG1114" si="79">SUM(X1115,X1119)</f>
        <v>#REF!</v>
      </c>
      <c r="Y1114" s="446"/>
      <c r="Z1114" s="446"/>
      <c r="AA1114" s="446"/>
      <c r="AB1114" s="446"/>
      <c r="AC1114" s="446"/>
      <c r="AD1114" s="54">
        <f t="shared" si="79"/>
        <v>1142000</v>
      </c>
      <c r="AE1114" s="55">
        <f t="shared" si="79"/>
        <v>0</v>
      </c>
      <c r="AF1114" s="56">
        <f t="shared" si="79"/>
        <v>0</v>
      </c>
      <c r="AG1114" s="70">
        <f t="shared" si="79"/>
        <v>1142000</v>
      </c>
      <c r="AH1114" s="17" t="e">
        <f t="shared" si="78"/>
        <v>#REF!</v>
      </c>
    </row>
    <row r="1115" spans="8:34" hidden="1">
      <c r="H1115" s="2909"/>
      <c r="I1115" s="2909"/>
      <c r="J1115" s="2909"/>
      <c r="K1115" s="2909"/>
      <c r="L1115" s="2910"/>
      <c r="M1115" s="2910"/>
      <c r="N1115" s="2910"/>
      <c r="O1115" s="2910"/>
      <c r="P1115" s="2911"/>
      <c r="Q1115" s="1260"/>
      <c r="R1115" s="2216"/>
      <c r="S1115" s="1260"/>
      <c r="T1115" s="446"/>
      <c r="U1115" s="70"/>
      <c r="V1115" s="70"/>
      <c r="W1115" s="70"/>
      <c r="X1115" s="70" t="e">
        <f t="shared" ref="X1115:AG1115" si="80">SUM(X1116:X1118)</f>
        <v>#REF!</v>
      </c>
      <c r="Y1115" s="446"/>
      <c r="Z1115" s="446"/>
      <c r="AA1115" s="446"/>
      <c r="AB1115" s="446"/>
      <c r="AC1115" s="446"/>
      <c r="AD1115" s="54">
        <f t="shared" si="80"/>
        <v>1030000</v>
      </c>
      <c r="AE1115" s="55">
        <f t="shared" si="80"/>
        <v>0</v>
      </c>
      <c r="AF1115" s="56">
        <f t="shared" si="80"/>
        <v>0</v>
      </c>
      <c r="AG1115" s="70">
        <f t="shared" si="80"/>
        <v>1030000</v>
      </c>
      <c r="AH1115" s="17" t="e">
        <f t="shared" si="78"/>
        <v>#REF!</v>
      </c>
    </row>
    <row r="1116" spans="8:34" hidden="1">
      <c r="H1116" s="2924"/>
      <c r="I1116" s="2924"/>
      <c r="J1116" s="2924"/>
      <c r="K1116" s="2924"/>
      <c r="L1116" s="2925"/>
      <c r="M1116" s="2925"/>
      <c r="N1116" s="2925"/>
      <c r="O1116" s="2925"/>
      <c r="P1116" s="2926"/>
      <c r="Q1116" s="1748"/>
      <c r="R1116" s="2221"/>
      <c r="S1116" s="1748"/>
      <c r="T1116" s="679"/>
      <c r="U1116" s="53"/>
      <c r="V1116" s="53"/>
      <c r="W1116" s="53"/>
      <c r="X1116" s="53" t="e">
        <f>SUM(#REF!)</f>
        <v>#REF!</v>
      </c>
      <c r="Y1116" s="679"/>
      <c r="Z1116" s="679"/>
      <c r="AA1116" s="679"/>
      <c r="AB1116" s="679"/>
      <c r="AC1116" s="679"/>
      <c r="AD1116" s="51">
        <v>710000</v>
      </c>
      <c r="AE1116" s="71"/>
      <c r="AF1116" s="72"/>
      <c r="AG1116" s="53">
        <f>SUM(AD1116:AF1116)</f>
        <v>710000</v>
      </c>
      <c r="AH1116" s="17" t="e">
        <f t="shared" si="78"/>
        <v>#REF!</v>
      </c>
    </row>
    <row r="1117" spans="8:34" hidden="1">
      <c r="H1117" s="2924"/>
      <c r="I1117" s="2924"/>
      <c r="J1117" s="2924"/>
      <c r="K1117" s="2924"/>
      <c r="L1117" s="2925"/>
      <c r="M1117" s="2925"/>
      <c r="N1117" s="2925"/>
      <c r="O1117" s="2925"/>
      <c r="P1117" s="2926"/>
      <c r="Q1117" s="1748"/>
      <c r="R1117" s="2221"/>
      <c r="S1117" s="1748"/>
      <c r="T1117" s="679"/>
      <c r="U1117" s="53"/>
      <c r="V1117" s="53"/>
      <c r="W1117" s="53"/>
      <c r="X1117" s="53"/>
      <c r="Y1117" s="679"/>
      <c r="Z1117" s="679"/>
      <c r="AA1117" s="679"/>
      <c r="AB1117" s="679"/>
      <c r="AC1117" s="679"/>
      <c r="AD1117" s="51"/>
      <c r="AE1117" s="71"/>
      <c r="AF1117" s="72"/>
      <c r="AG1117" s="53">
        <f>SUM(AD1117:AF1117)</f>
        <v>0</v>
      </c>
      <c r="AH1117" s="17" t="e">
        <f t="shared" si="78"/>
        <v>#DIV/0!</v>
      </c>
    </row>
    <row r="1118" spans="8:34" hidden="1">
      <c r="H1118" s="2924"/>
      <c r="I1118" s="2924"/>
      <c r="J1118" s="2924"/>
      <c r="K1118" s="2924"/>
      <c r="L1118" s="2925"/>
      <c r="M1118" s="2925"/>
      <c r="N1118" s="2925"/>
      <c r="O1118" s="2925"/>
      <c r="P1118" s="2926"/>
      <c r="Q1118" s="1748"/>
      <c r="R1118" s="2221"/>
      <c r="S1118" s="1748"/>
      <c r="T1118" s="679"/>
      <c r="U1118" s="53"/>
      <c r="V1118" s="53"/>
      <c r="W1118" s="53"/>
      <c r="X1118" s="53" t="e">
        <f>SUM(#REF!)</f>
        <v>#REF!</v>
      </c>
      <c r="Y1118" s="679"/>
      <c r="Z1118" s="679"/>
      <c r="AA1118" s="679"/>
      <c r="AB1118" s="679"/>
      <c r="AC1118" s="679"/>
      <c r="AD1118" s="51">
        <v>320000</v>
      </c>
      <c r="AE1118" s="71"/>
      <c r="AF1118" s="72"/>
      <c r="AG1118" s="53">
        <f>SUM(AD1118:AF1118)</f>
        <v>320000</v>
      </c>
      <c r="AH1118" s="17" t="e">
        <f t="shared" si="78"/>
        <v>#REF!</v>
      </c>
    </row>
    <row r="1119" spans="8:34" hidden="1">
      <c r="H1119" s="2909"/>
      <c r="I1119" s="2909"/>
      <c r="J1119" s="2909"/>
      <c r="K1119" s="2909"/>
      <c r="L1119" s="2910"/>
      <c r="M1119" s="2910"/>
      <c r="N1119" s="2910"/>
      <c r="O1119" s="2910"/>
      <c r="P1119" s="2911"/>
      <c r="Q1119" s="1260"/>
      <c r="R1119" s="2216"/>
      <c r="S1119" s="1260"/>
      <c r="T1119" s="446"/>
      <c r="U1119" s="70"/>
      <c r="V1119" s="70"/>
      <c r="W1119" s="70"/>
      <c r="X1119" s="70" t="e">
        <f t="shared" ref="X1119:AG1119" si="81">SUM(X1120:X1122)</f>
        <v>#REF!</v>
      </c>
      <c r="Y1119" s="446"/>
      <c r="Z1119" s="446"/>
      <c r="AA1119" s="446"/>
      <c r="AB1119" s="446"/>
      <c r="AC1119" s="446"/>
      <c r="AD1119" s="54">
        <f t="shared" si="81"/>
        <v>112000</v>
      </c>
      <c r="AE1119" s="55">
        <f t="shared" si="81"/>
        <v>0</v>
      </c>
      <c r="AF1119" s="56">
        <f t="shared" si="81"/>
        <v>0</v>
      </c>
      <c r="AG1119" s="70">
        <f t="shared" si="81"/>
        <v>112000</v>
      </c>
      <c r="AH1119" s="17" t="e">
        <f t="shared" si="78"/>
        <v>#REF!</v>
      </c>
    </row>
    <row r="1120" spans="8:34" hidden="1">
      <c r="H1120" s="2924"/>
      <c r="I1120" s="2924"/>
      <c r="J1120" s="2924"/>
      <c r="K1120" s="2924"/>
      <c r="L1120" s="2925"/>
      <c r="M1120" s="2925"/>
      <c r="N1120" s="2925"/>
      <c r="O1120" s="2925"/>
      <c r="P1120" s="2926"/>
      <c r="Q1120" s="1748"/>
      <c r="R1120" s="2221"/>
      <c r="S1120" s="1748"/>
      <c r="T1120" s="679"/>
      <c r="U1120" s="53"/>
      <c r="V1120" s="53"/>
      <c r="W1120" s="53"/>
      <c r="X1120" s="53" t="e">
        <f>SUM(#REF!)</f>
        <v>#REF!</v>
      </c>
      <c r="Y1120" s="679"/>
      <c r="Z1120" s="679"/>
      <c r="AA1120" s="679"/>
      <c r="AB1120" s="679"/>
      <c r="AC1120" s="679"/>
      <c r="AD1120" s="51">
        <v>17000</v>
      </c>
      <c r="AE1120" s="71"/>
      <c r="AF1120" s="72"/>
      <c r="AG1120" s="53">
        <f>SUM(AD1120:AF1120)</f>
        <v>17000</v>
      </c>
      <c r="AH1120" s="17" t="e">
        <f t="shared" si="78"/>
        <v>#REF!</v>
      </c>
    </row>
    <row r="1121" spans="8:34" hidden="1">
      <c r="H1121" s="2924"/>
      <c r="I1121" s="2924"/>
      <c r="J1121" s="2924"/>
      <c r="K1121" s="2924"/>
      <c r="L1121" s="2925"/>
      <c r="M1121" s="2925"/>
      <c r="N1121" s="2925"/>
      <c r="O1121" s="2925"/>
      <c r="P1121" s="2926"/>
      <c r="Q1121" s="1748"/>
      <c r="R1121" s="2221"/>
      <c r="S1121" s="1748"/>
      <c r="T1121" s="679"/>
      <c r="U1121" s="53"/>
      <c r="V1121" s="53"/>
      <c r="W1121" s="53"/>
      <c r="X1121" s="53" t="e">
        <f>SUM(#REF!)</f>
        <v>#REF!</v>
      </c>
      <c r="Y1121" s="679"/>
      <c r="Z1121" s="679"/>
      <c r="AA1121" s="679"/>
      <c r="AB1121" s="679"/>
      <c r="AC1121" s="679"/>
      <c r="AD1121" s="51">
        <v>75000</v>
      </c>
      <c r="AE1121" s="71"/>
      <c r="AF1121" s="72"/>
      <c r="AG1121" s="53">
        <f>SUM(AD1121:AF1121)</f>
        <v>75000</v>
      </c>
      <c r="AH1121" s="17" t="e">
        <f t="shared" si="78"/>
        <v>#REF!</v>
      </c>
    </row>
    <row r="1122" spans="8:34" hidden="1">
      <c r="H1122" s="2924"/>
      <c r="I1122" s="2924"/>
      <c r="J1122" s="2924"/>
      <c r="K1122" s="2924"/>
      <c r="L1122" s="2925"/>
      <c r="M1122" s="2925"/>
      <c r="N1122" s="2925"/>
      <c r="O1122" s="2925"/>
      <c r="P1122" s="2926"/>
      <c r="Q1122" s="1748"/>
      <c r="R1122" s="2221"/>
      <c r="S1122" s="1748"/>
      <c r="T1122" s="679"/>
      <c r="U1122" s="53"/>
      <c r="V1122" s="53"/>
      <c r="W1122" s="53"/>
      <c r="X1122" s="53" t="e">
        <f>SUM(#REF!)</f>
        <v>#REF!</v>
      </c>
      <c r="Y1122" s="679"/>
      <c r="Z1122" s="679"/>
      <c r="AA1122" s="679"/>
      <c r="AB1122" s="679"/>
      <c r="AC1122" s="679"/>
      <c r="AD1122" s="51">
        <v>20000</v>
      </c>
      <c r="AE1122" s="71"/>
      <c r="AF1122" s="72"/>
      <c r="AG1122" s="53">
        <f>SUM(AD1122:AF1122)</f>
        <v>20000</v>
      </c>
      <c r="AH1122" s="17" t="e">
        <f t="shared" si="78"/>
        <v>#REF!</v>
      </c>
    </row>
    <row r="1123" spans="8:34" hidden="1">
      <c r="H1123" s="2909"/>
      <c r="I1123" s="2909"/>
      <c r="J1123" s="2909"/>
      <c r="K1123" s="2909"/>
      <c r="L1123" s="2910"/>
      <c r="M1123" s="2910"/>
      <c r="N1123" s="2910"/>
      <c r="O1123" s="2910"/>
      <c r="P1123" s="2911"/>
      <c r="Q1123" s="1260"/>
      <c r="R1123" s="2216"/>
      <c r="S1123" s="1260"/>
      <c r="T1123" s="446"/>
      <c r="U1123" s="70"/>
      <c r="V1123" s="70"/>
      <c r="W1123" s="70"/>
      <c r="X1123" s="70" t="e">
        <f t="shared" ref="X1123:AG1123" si="82">SUM(X1124)</f>
        <v>#REF!</v>
      </c>
      <c r="Y1123" s="446"/>
      <c r="Z1123" s="446"/>
      <c r="AA1123" s="446"/>
      <c r="AB1123" s="446"/>
      <c r="AC1123" s="446"/>
      <c r="AD1123" s="54">
        <f t="shared" si="82"/>
        <v>110000</v>
      </c>
      <c r="AE1123" s="55">
        <f t="shared" si="82"/>
        <v>0</v>
      </c>
      <c r="AF1123" s="56">
        <f t="shared" si="82"/>
        <v>0</v>
      </c>
      <c r="AG1123" s="70">
        <f t="shared" si="82"/>
        <v>110000</v>
      </c>
      <c r="AH1123" s="17" t="e">
        <f t="shared" si="78"/>
        <v>#REF!</v>
      </c>
    </row>
    <row r="1124" spans="8:34" hidden="1">
      <c r="H1124" s="2924"/>
      <c r="I1124" s="2924"/>
      <c r="J1124" s="2924"/>
      <c r="K1124" s="2924"/>
      <c r="L1124" s="2925"/>
      <c r="M1124" s="2925"/>
      <c r="N1124" s="2925"/>
      <c r="O1124" s="2925"/>
      <c r="P1124" s="2926"/>
      <c r="Q1124" s="1748"/>
      <c r="R1124" s="2221"/>
      <c r="S1124" s="1748"/>
      <c r="T1124" s="679"/>
      <c r="U1124" s="53"/>
      <c r="V1124" s="53"/>
      <c r="W1124" s="53"/>
      <c r="X1124" s="53" t="e">
        <f>SUM(#REF!)</f>
        <v>#REF!</v>
      </c>
      <c r="Y1124" s="679"/>
      <c r="Z1124" s="679"/>
      <c r="AA1124" s="679"/>
      <c r="AB1124" s="679"/>
      <c r="AC1124" s="679"/>
      <c r="AD1124" s="51">
        <v>110000</v>
      </c>
      <c r="AE1124" s="71"/>
      <c r="AF1124" s="72"/>
      <c r="AG1124" s="53">
        <f>SUM(AD1124:AF1124)</f>
        <v>110000</v>
      </c>
      <c r="AH1124" s="17" t="e">
        <f t="shared" si="78"/>
        <v>#REF!</v>
      </c>
    </row>
    <row r="1125" spans="8:34" hidden="1">
      <c r="H1125" s="2909"/>
      <c r="I1125" s="2909"/>
      <c r="J1125" s="2909"/>
      <c r="K1125" s="2909"/>
      <c r="L1125" s="2910"/>
      <c r="M1125" s="2910"/>
      <c r="N1125" s="2910"/>
      <c r="O1125" s="2910"/>
      <c r="P1125" s="2911"/>
      <c r="Q1125" s="1260"/>
      <c r="R1125" s="2216"/>
      <c r="S1125" s="1260"/>
      <c r="T1125" s="446"/>
      <c r="U1125" s="70"/>
      <c r="V1125" s="70"/>
      <c r="W1125" s="70"/>
      <c r="X1125" s="70" t="e">
        <f t="shared" ref="X1125:AG1125" si="83">SUM(X1126:X1134)</f>
        <v>#REF!</v>
      </c>
      <c r="Y1125" s="446"/>
      <c r="Z1125" s="446"/>
      <c r="AA1125" s="446"/>
      <c r="AB1125" s="446"/>
      <c r="AC1125" s="446"/>
      <c r="AD1125" s="54">
        <f t="shared" si="83"/>
        <v>2243500</v>
      </c>
      <c r="AE1125" s="55">
        <f t="shared" si="83"/>
        <v>0</v>
      </c>
      <c r="AF1125" s="56">
        <f t="shared" si="83"/>
        <v>0</v>
      </c>
      <c r="AG1125" s="70">
        <f t="shared" si="83"/>
        <v>2243500</v>
      </c>
      <c r="AH1125" s="17" t="e">
        <f t="shared" si="78"/>
        <v>#REF!</v>
      </c>
    </row>
    <row r="1126" spans="8:34" hidden="1">
      <c r="H1126" s="2924"/>
      <c r="I1126" s="2924"/>
      <c r="J1126" s="2924"/>
      <c r="K1126" s="2924"/>
      <c r="L1126" s="2925"/>
      <c r="M1126" s="2925"/>
      <c r="N1126" s="2925"/>
      <c r="O1126" s="2925"/>
      <c r="P1126" s="2926"/>
      <c r="Q1126" s="1748"/>
      <c r="R1126" s="2221"/>
      <c r="S1126" s="1748"/>
      <c r="T1126" s="679"/>
      <c r="U1126" s="53"/>
      <c r="V1126" s="53"/>
      <c r="W1126" s="53"/>
      <c r="X1126" s="53" t="e">
        <f>SUM(#REF!)</f>
        <v>#REF!</v>
      </c>
      <c r="Y1126" s="679"/>
      <c r="Z1126" s="679"/>
      <c r="AA1126" s="679"/>
      <c r="AB1126" s="679"/>
      <c r="AC1126" s="679"/>
      <c r="AD1126" s="57">
        <v>1000</v>
      </c>
      <c r="AE1126" s="71"/>
      <c r="AF1126" s="72"/>
      <c r="AG1126" s="53">
        <f t="shared" ref="AG1126:AG1132" si="84">SUM(AD1126:AF1126)</f>
        <v>1000</v>
      </c>
      <c r="AH1126" s="17" t="e">
        <f t="shared" si="78"/>
        <v>#REF!</v>
      </c>
    </row>
    <row r="1127" spans="8:34" hidden="1">
      <c r="H1127" s="2924"/>
      <c r="I1127" s="2924"/>
      <c r="J1127" s="2924"/>
      <c r="K1127" s="2924"/>
      <c r="L1127" s="2925"/>
      <c r="M1127" s="2925"/>
      <c r="N1127" s="2925"/>
      <c r="O1127" s="2925"/>
      <c r="P1127" s="2926"/>
      <c r="Q1127" s="1748"/>
      <c r="R1127" s="2221"/>
      <c r="S1127" s="1748"/>
      <c r="T1127" s="679"/>
      <c r="U1127" s="53"/>
      <c r="V1127" s="53"/>
      <c r="W1127" s="53"/>
      <c r="X1127" s="53" t="e">
        <f>SUM(#REF!)</f>
        <v>#REF!</v>
      </c>
      <c r="Y1127" s="679"/>
      <c r="Z1127" s="679"/>
      <c r="AA1127" s="679"/>
      <c r="AB1127" s="679"/>
      <c r="AC1127" s="679"/>
      <c r="AD1127" s="57">
        <v>25000</v>
      </c>
      <c r="AE1127" s="71"/>
      <c r="AF1127" s="72"/>
      <c r="AG1127" s="53">
        <f t="shared" si="84"/>
        <v>25000</v>
      </c>
      <c r="AH1127" s="17" t="e">
        <f t="shared" si="78"/>
        <v>#REF!</v>
      </c>
    </row>
    <row r="1128" spans="8:34" hidden="1">
      <c r="H1128" s="2924"/>
      <c r="I1128" s="2924"/>
      <c r="J1128" s="2924"/>
      <c r="K1128" s="2924"/>
      <c r="L1128" s="2925"/>
      <c r="M1128" s="2925"/>
      <c r="N1128" s="2925"/>
      <c r="O1128" s="2925"/>
      <c r="P1128" s="2926"/>
      <c r="Q1128" s="1748"/>
      <c r="R1128" s="2221"/>
      <c r="S1128" s="1748"/>
      <c r="T1128" s="679"/>
      <c r="U1128" s="53"/>
      <c r="V1128" s="53"/>
      <c r="W1128" s="53"/>
      <c r="X1128" s="53" t="e">
        <f>SUM(#REF!)</f>
        <v>#REF!</v>
      </c>
      <c r="Y1128" s="679"/>
      <c r="Z1128" s="679"/>
      <c r="AA1128" s="679"/>
      <c r="AB1128" s="679"/>
      <c r="AC1128" s="679"/>
      <c r="AD1128" s="57">
        <v>28000</v>
      </c>
      <c r="AE1128" s="71"/>
      <c r="AF1128" s="72"/>
      <c r="AG1128" s="53">
        <f t="shared" si="84"/>
        <v>28000</v>
      </c>
      <c r="AH1128" s="17" t="e">
        <f t="shared" si="78"/>
        <v>#REF!</v>
      </c>
    </row>
    <row r="1129" spans="8:34" hidden="1">
      <c r="H1129" s="2924"/>
      <c r="I1129" s="2924"/>
      <c r="J1129" s="2924"/>
      <c r="K1129" s="2924"/>
      <c r="L1129" s="2925"/>
      <c r="M1129" s="2925"/>
      <c r="N1129" s="2925"/>
      <c r="O1129" s="2925"/>
      <c r="P1129" s="2926"/>
      <c r="Q1129" s="1748"/>
      <c r="R1129" s="2221"/>
      <c r="S1129" s="1748"/>
      <c r="T1129" s="679"/>
      <c r="U1129" s="53"/>
      <c r="V1129" s="53"/>
      <c r="W1129" s="53"/>
      <c r="X1129" s="53" t="e">
        <f>SUM(#REF!)</f>
        <v>#REF!</v>
      </c>
      <c r="Y1129" s="679"/>
      <c r="Z1129" s="679"/>
      <c r="AA1129" s="679"/>
      <c r="AB1129" s="679"/>
      <c r="AC1129" s="679"/>
      <c r="AD1129" s="57">
        <v>17000</v>
      </c>
      <c r="AE1129" s="71"/>
      <c r="AF1129" s="72"/>
      <c r="AG1129" s="53">
        <f t="shared" si="84"/>
        <v>17000</v>
      </c>
      <c r="AH1129" s="17" t="e">
        <f t="shared" si="78"/>
        <v>#REF!</v>
      </c>
    </row>
    <row r="1130" spans="8:34" hidden="1">
      <c r="H1130" s="2924"/>
      <c r="I1130" s="2924"/>
      <c r="J1130" s="2924"/>
      <c r="K1130" s="2924"/>
      <c r="L1130" s="2925"/>
      <c r="M1130" s="2925"/>
      <c r="N1130" s="2925"/>
      <c r="O1130" s="2925"/>
      <c r="P1130" s="2926"/>
      <c r="Q1130" s="1748"/>
      <c r="R1130" s="2221"/>
      <c r="S1130" s="1748"/>
      <c r="T1130" s="679"/>
      <c r="U1130" s="53"/>
      <c r="V1130" s="53"/>
      <c r="W1130" s="53"/>
      <c r="X1130" s="53" t="e">
        <f>SUM(#REF!)</f>
        <v>#REF!</v>
      </c>
      <c r="Y1130" s="679"/>
      <c r="Z1130" s="679"/>
      <c r="AA1130" s="679"/>
      <c r="AB1130" s="679"/>
      <c r="AC1130" s="679"/>
      <c r="AD1130" s="104">
        <v>5000</v>
      </c>
      <c r="AE1130" s="71"/>
      <c r="AF1130" s="72"/>
      <c r="AG1130" s="53">
        <f t="shared" si="84"/>
        <v>5000</v>
      </c>
      <c r="AH1130" s="17" t="e">
        <f t="shared" si="78"/>
        <v>#REF!</v>
      </c>
    </row>
    <row r="1131" spans="8:34" hidden="1">
      <c r="H1131" s="2924"/>
      <c r="I1131" s="2924"/>
      <c r="J1131" s="2924"/>
      <c r="K1131" s="2924"/>
      <c r="L1131" s="2925"/>
      <c r="M1131" s="2925"/>
      <c r="N1131" s="2925"/>
      <c r="O1131" s="2925"/>
      <c r="P1131" s="2926"/>
      <c r="Q1131" s="1748"/>
      <c r="R1131" s="2221"/>
      <c r="S1131" s="1748"/>
      <c r="T1131" s="679"/>
      <c r="U1131" s="53"/>
      <c r="V1131" s="53"/>
      <c r="W1131" s="53"/>
      <c r="X1131" s="53" t="e">
        <f>SUM(#REF!)</f>
        <v>#REF!</v>
      </c>
      <c r="Y1131" s="679"/>
      <c r="Z1131" s="679"/>
      <c r="AA1131" s="679"/>
      <c r="AB1131" s="679"/>
      <c r="AC1131" s="679"/>
      <c r="AD1131" s="57">
        <v>7000</v>
      </c>
      <c r="AE1131" s="71"/>
      <c r="AF1131" s="72"/>
      <c r="AG1131" s="53">
        <f t="shared" si="84"/>
        <v>7000</v>
      </c>
      <c r="AH1131" s="17" t="e">
        <f t="shared" si="78"/>
        <v>#REF!</v>
      </c>
    </row>
    <row r="1132" spans="8:34" hidden="1">
      <c r="H1132" s="2924"/>
      <c r="I1132" s="2924"/>
      <c r="J1132" s="2924"/>
      <c r="K1132" s="2924"/>
      <c r="L1132" s="2925"/>
      <c r="M1132" s="2925"/>
      <c r="N1132" s="2925"/>
      <c r="O1132" s="2925"/>
      <c r="P1132" s="2926"/>
      <c r="Q1132" s="1748"/>
      <c r="R1132" s="2221"/>
      <c r="S1132" s="1748"/>
      <c r="T1132" s="679"/>
      <c r="U1132" s="53"/>
      <c r="V1132" s="53"/>
      <c r="W1132" s="53"/>
      <c r="X1132" s="53" t="e">
        <f>SUM(#REF!)</f>
        <v>#REF!</v>
      </c>
      <c r="Y1132" s="679"/>
      <c r="Z1132" s="679"/>
      <c r="AA1132" s="679"/>
      <c r="AB1132" s="679"/>
      <c r="AC1132" s="679"/>
      <c r="AD1132" s="57">
        <v>8000</v>
      </c>
      <c r="AE1132" s="71"/>
      <c r="AF1132" s="72"/>
      <c r="AG1132" s="53">
        <f t="shared" si="84"/>
        <v>8000</v>
      </c>
      <c r="AH1132" s="17" t="e">
        <f t="shared" si="78"/>
        <v>#REF!</v>
      </c>
    </row>
    <row r="1133" spans="8:34" hidden="1">
      <c r="H1133" s="2924"/>
      <c r="I1133" s="2924"/>
      <c r="J1133" s="2924"/>
      <c r="K1133" s="2924"/>
      <c r="L1133" s="2925"/>
      <c r="M1133" s="2925"/>
      <c r="N1133" s="2925"/>
      <c r="O1133" s="2925"/>
      <c r="P1133" s="2926"/>
      <c r="Q1133" s="1748"/>
      <c r="R1133" s="2221"/>
      <c r="S1133" s="1748"/>
      <c r="T1133" s="679"/>
      <c r="U1133" s="53"/>
      <c r="V1133" s="53"/>
      <c r="W1133" s="53"/>
      <c r="X1133" s="53" t="e">
        <f>SUM(#REF!)</f>
        <v>#REF!</v>
      </c>
      <c r="Y1133" s="679"/>
      <c r="Z1133" s="679"/>
      <c r="AA1133" s="679"/>
      <c r="AB1133" s="679"/>
      <c r="AC1133" s="679"/>
      <c r="AD1133" s="57">
        <v>6000</v>
      </c>
      <c r="AE1133" s="71"/>
      <c r="AF1133" s="72"/>
      <c r="AG1133" s="53">
        <f>SUM(AD1133:AF1133)</f>
        <v>6000</v>
      </c>
      <c r="AH1133" s="17" t="e">
        <f t="shared" si="78"/>
        <v>#REF!</v>
      </c>
    </row>
    <row r="1134" spans="8:34" hidden="1">
      <c r="H1134" s="2909"/>
      <c r="I1134" s="2909"/>
      <c r="J1134" s="2909"/>
      <c r="K1134" s="2909"/>
      <c r="L1134" s="2910"/>
      <c r="M1134" s="2910"/>
      <c r="N1134" s="2910"/>
      <c r="O1134" s="2910"/>
      <c r="P1134" s="2911"/>
      <c r="Q1134" s="1260"/>
      <c r="R1134" s="2216"/>
      <c r="S1134" s="1260"/>
      <c r="T1134" s="446"/>
      <c r="U1134" s="70"/>
      <c r="V1134" s="70"/>
      <c r="W1134" s="70"/>
      <c r="X1134" s="70" t="e">
        <f>SUM(X1135:X1145)</f>
        <v>#REF!</v>
      </c>
      <c r="Y1134" s="446"/>
      <c r="Z1134" s="446"/>
      <c r="AA1134" s="446"/>
      <c r="AB1134" s="446"/>
      <c r="AC1134" s="446"/>
      <c r="AD1134" s="54">
        <f>SUM(AD1135:AD1145)</f>
        <v>2146500</v>
      </c>
      <c r="AE1134" s="55">
        <f>SUM(AE1135:AE1144)</f>
        <v>0</v>
      </c>
      <c r="AF1134" s="56">
        <f>SUM(AF1135:AF1144)</f>
        <v>0</v>
      </c>
      <c r="AG1134" s="70">
        <f>SUM(AG1135:AG1145)</f>
        <v>2146500</v>
      </c>
      <c r="AH1134" s="17" t="e">
        <f t="shared" si="78"/>
        <v>#REF!</v>
      </c>
    </row>
    <row r="1135" spans="8:34" hidden="1">
      <c r="H1135" s="2942"/>
      <c r="I1135" s="2942"/>
      <c r="J1135" s="2942"/>
      <c r="K1135" s="2942"/>
      <c r="L1135" s="2943"/>
      <c r="M1135" s="2943"/>
      <c r="N1135" s="2943"/>
      <c r="O1135" s="2943"/>
      <c r="P1135" s="2944"/>
      <c r="Q1135" s="1754"/>
      <c r="R1135" s="2224"/>
      <c r="S1135" s="1754"/>
      <c r="T1135" s="576"/>
      <c r="U1135" s="81"/>
      <c r="V1135" s="81"/>
      <c r="W1135" s="81"/>
      <c r="X1135" s="53" t="e">
        <f>SUM(#REF!)</f>
        <v>#REF!</v>
      </c>
      <c r="Y1135" s="679"/>
      <c r="Z1135" s="679"/>
      <c r="AA1135" s="679"/>
      <c r="AB1135" s="679"/>
      <c r="AC1135" s="679"/>
      <c r="AD1135" s="51">
        <v>2000</v>
      </c>
      <c r="AE1135" s="105"/>
      <c r="AF1135" s="106"/>
      <c r="AG1135" s="53">
        <f t="shared" ref="AG1135:AG1147" si="85">SUM(AD1135:AF1135)</f>
        <v>2000</v>
      </c>
      <c r="AH1135" s="17" t="e">
        <f t="shared" si="78"/>
        <v>#REF!</v>
      </c>
    </row>
    <row r="1136" spans="8:34" hidden="1">
      <c r="H1136" s="2942"/>
      <c r="I1136" s="2942"/>
      <c r="J1136" s="2942"/>
      <c r="K1136" s="2942"/>
      <c r="L1136" s="2943"/>
      <c r="M1136" s="2943"/>
      <c r="N1136" s="2943"/>
      <c r="O1136" s="2943"/>
      <c r="P1136" s="2944"/>
      <c r="Q1136" s="1754"/>
      <c r="R1136" s="2224"/>
      <c r="S1136" s="1754"/>
      <c r="T1136" s="576"/>
      <c r="U1136" s="81"/>
      <c r="V1136" s="81"/>
      <c r="W1136" s="81"/>
      <c r="X1136" s="53" t="e">
        <f>SUM(#REF!)</f>
        <v>#REF!</v>
      </c>
      <c r="Y1136" s="679"/>
      <c r="Z1136" s="679"/>
      <c r="AA1136" s="679"/>
      <c r="AB1136" s="679"/>
      <c r="AC1136" s="679"/>
      <c r="AD1136" s="51">
        <v>4000</v>
      </c>
      <c r="AE1136" s="105"/>
      <c r="AF1136" s="106"/>
      <c r="AG1136" s="53">
        <f t="shared" si="85"/>
        <v>4000</v>
      </c>
      <c r="AH1136" s="17" t="e">
        <f t="shared" si="78"/>
        <v>#REF!</v>
      </c>
    </row>
    <row r="1137" spans="8:34" hidden="1">
      <c r="H1137" s="2942"/>
      <c r="I1137" s="2942"/>
      <c r="J1137" s="2942"/>
      <c r="K1137" s="2942"/>
      <c r="L1137" s="2943"/>
      <c r="M1137" s="2943"/>
      <c r="N1137" s="2943"/>
      <c r="O1137" s="2943"/>
      <c r="P1137" s="2944"/>
      <c r="Q1137" s="1754"/>
      <c r="R1137" s="2224"/>
      <c r="S1137" s="1754"/>
      <c r="T1137" s="576"/>
      <c r="U1137" s="81"/>
      <c r="V1137" s="81"/>
      <c r="W1137" s="81"/>
      <c r="X1137" s="53" t="e">
        <f>SUM(#REF!)</f>
        <v>#REF!</v>
      </c>
      <c r="Y1137" s="679"/>
      <c r="Z1137" s="679"/>
      <c r="AA1137" s="679"/>
      <c r="AB1137" s="679"/>
      <c r="AC1137" s="679"/>
      <c r="AD1137" s="107">
        <v>350000</v>
      </c>
      <c r="AE1137" s="105"/>
      <c r="AF1137" s="106"/>
      <c r="AG1137" s="53">
        <f t="shared" si="85"/>
        <v>350000</v>
      </c>
      <c r="AH1137" s="17" t="e">
        <f t="shared" si="78"/>
        <v>#REF!</v>
      </c>
    </row>
    <row r="1138" spans="8:34" hidden="1">
      <c r="H1138" s="2942"/>
      <c r="I1138" s="2942"/>
      <c r="J1138" s="2942"/>
      <c r="K1138" s="2942"/>
      <c r="L1138" s="2943"/>
      <c r="M1138" s="2943"/>
      <c r="N1138" s="2943"/>
      <c r="O1138" s="2943"/>
      <c r="P1138" s="2944"/>
      <c r="Q1138" s="1754"/>
      <c r="R1138" s="2224"/>
      <c r="S1138" s="1754"/>
      <c r="T1138" s="576"/>
      <c r="U1138" s="81"/>
      <c r="V1138" s="81"/>
      <c r="W1138" s="81"/>
      <c r="X1138" s="53" t="e">
        <f>SUM(#REF!)</f>
        <v>#REF!</v>
      </c>
      <c r="Y1138" s="679"/>
      <c r="Z1138" s="679"/>
      <c r="AA1138" s="679"/>
      <c r="AB1138" s="679"/>
      <c r="AC1138" s="679"/>
      <c r="AD1138" s="107">
        <v>1700000</v>
      </c>
      <c r="AE1138" s="105"/>
      <c r="AF1138" s="106"/>
      <c r="AG1138" s="53">
        <f t="shared" si="85"/>
        <v>1700000</v>
      </c>
      <c r="AH1138" s="17" t="e">
        <f t="shared" si="78"/>
        <v>#REF!</v>
      </c>
    </row>
    <row r="1139" spans="8:34" hidden="1">
      <c r="H1139" s="2942"/>
      <c r="I1139" s="2942"/>
      <c r="J1139" s="2942"/>
      <c r="K1139" s="2942"/>
      <c r="L1139" s="2943"/>
      <c r="M1139" s="2943"/>
      <c r="N1139" s="2943"/>
      <c r="O1139" s="2943"/>
      <c r="P1139" s="2944"/>
      <c r="Q1139" s="1754"/>
      <c r="R1139" s="2224"/>
      <c r="S1139" s="1754"/>
      <c r="T1139" s="576"/>
      <c r="U1139" s="81"/>
      <c r="V1139" s="81"/>
      <c r="W1139" s="81"/>
      <c r="X1139" s="53" t="e">
        <f>SUM(#REF!)</f>
        <v>#REF!</v>
      </c>
      <c r="Y1139" s="679"/>
      <c r="Z1139" s="679"/>
      <c r="AA1139" s="679"/>
      <c r="AB1139" s="679"/>
      <c r="AC1139" s="679"/>
      <c r="AD1139" s="51">
        <v>10000</v>
      </c>
      <c r="AE1139" s="105"/>
      <c r="AF1139" s="106"/>
      <c r="AG1139" s="53">
        <f t="shared" si="85"/>
        <v>10000</v>
      </c>
      <c r="AH1139" s="17" t="e">
        <f t="shared" si="78"/>
        <v>#REF!</v>
      </c>
    </row>
    <row r="1140" spans="8:34" hidden="1">
      <c r="H1140" s="2942"/>
      <c r="I1140" s="2942"/>
      <c r="J1140" s="2942"/>
      <c r="K1140" s="2942"/>
      <c r="L1140" s="2943"/>
      <c r="M1140" s="2943"/>
      <c r="N1140" s="2943"/>
      <c r="O1140" s="2943"/>
      <c r="P1140" s="2944"/>
      <c r="Q1140" s="1754"/>
      <c r="R1140" s="2224"/>
      <c r="S1140" s="1754"/>
      <c r="T1140" s="576"/>
      <c r="U1140" s="81"/>
      <c r="V1140" s="81"/>
      <c r="W1140" s="81"/>
      <c r="X1140" s="53" t="e">
        <f>SUM(#REF!)</f>
        <v>#REF!</v>
      </c>
      <c r="Y1140" s="679"/>
      <c r="Z1140" s="679"/>
      <c r="AA1140" s="679"/>
      <c r="AB1140" s="679"/>
      <c r="AC1140" s="679"/>
      <c r="AD1140" s="51">
        <v>25000</v>
      </c>
      <c r="AE1140" s="105"/>
      <c r="AF1140" s="106"/>
      <c r="AG1140" s="53">
        <f t="shared" si="85"/>
        <v>25000</v>
      </c>
      <c r="AH1140" s="17" t="e">
        <f t="shared" si="78"/>
        <v>#REF!</v>
      </c>
    </row>
    <row r="1141" spans="8:34" hidden="1">
      <c r="H1141" s="2942"/>
      <c r="I1141" s="2942"/>
      <c r="J1141" s="2942"/>
      <c r="K1141" s="2942"/>
      <c r="L1141" s="2943"/>
      <c r="M1141" s="2943"/>
      <c r="N1141" s="2943"/>
      <c r="O1141" s="2943"/>
      <c r="P1141" s="2944"/>
      <c r="Q1141" s="1754"/>
      <c r="R1141" s="2224"/>
      <c r="S1141" s="1754"/>
      <c r="T1141" s="576"/>
      <c r="U1141" s="81"/>
      <c r="V1141" s="81"/>
      <c r="W1141" s="81"/>
      <c r="X1141" s="53" t="e">
        <f>SUM(#REF!)</f>
        <v>#REF!</v>
      </c>
      <c r="Y1141" s="679"/>
      <c r="Z1141" s="679"/>
      <c r="AA1141" s="679"/>
      <c r="AB1141" s="679"/>
      <c r="AC1141" s="679"/>
      <c r="AD1141" s="51">
        <v>6000</v>
      </c>
      <c r="AE1141" s="105"/>
      <c r="AF1141" s="106"/>
      <c r="AG1141" s="53">
        <f t="shared" si="85"/>
        <v>6000</v>
      </c>
      <c r="AH1141" s="17" t="e">
        <f t="shared" si="78"/>
        <v>#REF!</v>
      </c>
    </row>
    <row r="1142" spans="8:34" hidden="1">
      <c r="H1142" s="2942"/>
      <c r="I1142" s="2942"/>
      <c r="J1142" s="2942"/>
      <c r="K1142" s="2942"/>
      <c r="L1142" s="2943"/>
      <c r="M1142" s="2943"/>
      <c r="N1142" s="2943"/>
      <c r="O1142" s="2943"/>
      <c r="P1142" s="2944"/>
      <c r="Q1142" s="1754"/>
      <c r="R1142" s="2224"/>
      <c r="S1142" s="1754"/>
      <c r="T1142" s="576"/>
      <c r="U1142" s="81"/>
      <c r="V1142" s="81"/>
      <c r="W1142" s="81"/>
      <c r="X1142" s="53" t="e">
        <f>SUM(#REF!)</f>
        <v>#REF!</v>
      </c>
      <c r="Y1142" s="679"/>
      <c r="Z1142" s="679"/>
      <c r="AA1142" s="679"/>
      <c r="AB1142" s="679"/>
      <c r="AC1142" s="679"/>
      <c r="AD1142" s="51">
        <v>6500</v>
      </c>
      <c r="AE1142" s="105"/>
      <c r="AF1142" s="106"/>
      <c r="AG1142" s="53">
        <f t="shared" si="85"/>
        <v>6500</v>
      </c>
      <c r="AH1142" s="17" t="e">
        <f t="shared" si="78"/>
        <v>#REF!</v>
      </c>
    </row>
    <row r="1143" spans="8:34" hidden="1">
      <c r="H1143" s="2942"/>
      <c r="I1143" s="2942"/>
      <c r="J1143" s="2942"/>
      <c r="K1143" s="2942"/>
      <c r="L1143" s="2943"/>
      <c r="M1143" s="2943"/>
      <c r="N1143" s="2943"/>
      <c r="O1143" s="2943"/>
      <c r="P1143" s="2944"/>
      <c r="Q1143" s="1754"/>
      <c r="R1143" s="2224"/>
      <c r="S1143" s="1754"/>
      <c r="T1143" s="576"/>
      <c r="U1143" s="81"/>
      <c r="V1143" s="81"/>
      <c r="W1143" s="81"/>
      <c r="X1143" s="53" t="e">
        <f>SUM(#REF!)</f>
        <v>#REF!</v>
      </c>
      <c r="Y1143" s="679"/>
      <c r="Z1143" s="679"/>
      <c r="AA1143" s="679"/>
      <c r="AB1143" s="679"/>
      <c r="AC1143" s="679"/>
      <c r="AD1143" s="51">
        <v>20000</v>
      </c>
      <c r="AE1143" s="105"/>
      <c r="AF1143" s="106"/>
      <c r="AG1143" s="53">
        <f t="shared" si="85"/>
        <v>20000</v>
      </c>
      <c r="AH1143" s="17" t="e">
        <f t="shared" si="78"/>
        <v>#REF!</v>
      </c>
    </row>
    <row r="1144" spans="8:34" hidden="1">
      <c r="H1144" s="2942"/>
      <c r="I1144" s="2942"/>
      <c r="J1144" s="2942"/>
      <c r="K1144" s="2942"/>
      <c r="L1144" s="2943"/>
      <c r="M1144" s="2943"/>
      <c r="N1144" s="2943"/>
      <c r="O1144" s="2943"/>
      <c r="P1144" s="2944"/>
      <c r="Q1144" s="1754"/>
      <c r="R1144" s="2224"/>
      <c r="S1144" s="1754"/>
      <c r="T1144" s="576"/>
      <c r="U1144" s="81"/>
      <c r="V1144" s="81"/>
      <c r="W1144" s="81"/>
      <c r="X1144" s="53" t="e">
        <f>SUM(#REF!)</f>
        <v>#REF!</v>
      </c>
      <c r="Y1144" s="679"/>
      <c r="Z1144" s="679"/>
      <c r="AA1144" s="679"/>
      <c r="AB1144" s="679"/>
      <c r="AC1144" s="679"/>
      <c r="AD1144" s="51">
        <v>3000</v>
      </c>
      <c r="AE1144" s="105"/>
      <c r="AF1144" s="106"/>
      <c r="AG1144" s="53">
        <f t="shared" si="85"/>
        <v>3000</v>
      </c>
      <c r="AH1144" s="17" t="e">
        <f t="shared" si="78"/>
        <v>#REF!</v>
      </c>
    </row>
    <row r="1145" spans="8:34" hidden="1">
      <c r="H1145" s="2942"/>
      <c r="I1145" s="2942"/>
      <c r="J1145" s="2942"/>
      <c r="K1145" s="2942"/>
      <c r="L1145" s="2943"/>
      <c r="M1145" s="2943"/>
      <c r="N1145" s="2943"/>
      <c r="O1145" s="2943"/>
      <c r="P1145" s="2944"/>
      <c r="Q1145" s="1754"/>
      <c r="R1145" s="2224"/>
      <c r="S1145" s="1754"/>
      <c r="T1145" s="576"/>
      <c r="U1145" s="81"/>
      <c r="V1145" s="81"/>
      <c r="W1145" s="81"/>
      <c r="X1145" s="53" t="e">
        <f>SUM(#REF!)</f>
        <v>#REF!</v>
      </c>
      <c r="Y1145" s="679"/>
      <c r="Z1145" s="679"/>
      <c r="AA1145" s="679"/>
      <c r="AB1145" s="679"/>
      <c r="AC1145" s="679"/>
      <c r="AD1145" s="51">
        <v>20000</v>
      </c>
      <c r="AE1145" s="105"/>
      <c r="AF1145" s="106"/>
      <c r="AG1145" s="53">
        <f t="shared" si="85"/>
        <v>20000</v>
      </c>
      <c r="AH1145" s="17" t="e">
        <f t="shared" si="78"/>
        <v>#REF!</v>
      </c>
    </row>
    <row r="1146" spans="8:34" hidden="1">
      <c r="H1146" s="2927"/>
      <c r="I1146" s="2927"/>
      <c r="J1146" s="2927"/>
      <c r="K1146" s="2927"/>
      <c r="L1146" s="2928"/>
      <c r="M1146" s="2928"/>
      <c r="N1146" s="2928"/>
      <c r="O1146" s="2928"/>
      <c r="P1146" s="2929"/>
      <c r="Q1146" s="1749"/>
      <c r="R1146" s="2222"/>
      <c r="S1146" s="1749"/>
      <c r="T1146" s="575"/>
      <c r="U1146" s="19"/>
      <c r="V1146" s="19"/>
      <c r="W1146" s="19"/>
      <c r="X1146" s="70"/>
      <c r="Y1146" s="446"/>
      <c r="Z1146" s="446"/>
      <c r="AA1146" s="446"/>
      <c r="AB1146" s="446"/>
      <c r="AC1146" s="446"/>
      <c r="AD1146" s="54">
        <v>100000</v>
      </c>
      <c r="AE1146" s="76"/>
      <c r="AF1146" s="77"/>
      <c r="AG1146" s="70">
        <f t="shared" si="85"/>
        <v>100000</v>
      </c>
      <c r="AH1146" s="17"/>
    </row>
    <row r="1147" spans="8:34" hidden="1">
      <c r="H1147" s="2927"/>
      <c r="I1147" s="2927"/>
      <c r="J1147" s="2927"/>
      <c r="K1147" s="2927"/>
      <c r="L1147" s="2928"/>
      <c r="M1147" s="2928"/>
      <c r="N1147" s="2928"/>
      <c r="O1147" s="2928"/>
      <c r="P1147" s="2929"/>
      <c r="Q1147" s="1749"/>
      <c r="R1147" s="2222"/>
      <c r="S1147" s="1749"/>
      <c r="T1147" s="575"/>
      <c r="U1147" s="19"/>
      <c r="V1147" s="19"/>
      <c r="W1147" s="19"/>
      <c r="X1147" s="70" t="e">
        <f>SUM(#REF!)</f>
        <v>#REF!</v>
      </c>
      <c r="Y1147" s="446"/>
      <c r="Z1147" s="446"/>
      <c r="AA1147" s="446"/>
      <c r="AB1147" s="446"/>
      <c r="AC1147" s="446"/>
      <c r="AD1147" s="108">
        <v>350000</v>
      </c>
      <c r="AE1147" s="76"/>
      <c r="AF1147" s="77"/>
      <c r="AG1147" s="70">
        <f t="shared" si="85"/>
        <v>350000</v>
      </c>
      <c r="AH1147" s="17" t="e">
        <f t="shared" ref="AH1147:AH1155" si="86">AG1147/X1147*100</f>
        <v>#REF!</v>
      </c>
    </row>
    <row r="1148" spans="8:34" hidden="1">
      <c r="H1148" s="2927"/>
      <c r="I1148" s="2927"/>
      <c r="J1148" s="2927"/>
      <c r="K1148" s="2927"/>
      <c r="L1148" s="2928"/>
      <c r="M1148" s="2928"/>
      <c r="N1148" s="2928"/>
      <c r="O1148" s="2928"/>
      <c r="P1148" s="2929"/>
      <c r="Q1148" s="1749"/>
      <c r="R1148" s="2222"/>
      <c r="S1148" s="1749"/>
      <c r="T1148" s="575"/>
      <c r="U1148" s="19"/>
      <c r="V1148" s="19"/>
      <c r="W1148" s="19"/>
      <c r="X1148" s="70"/>
      <c r="Y1148" s="446"/>
      <c r="Z1148" s="446"/>
      <c r="AA1148" s="446"/>
      <c r="AB1148" s="446"/>
      <c r="AC1148" s="446"/>
      <c r="AD1148" s="78"/>
      <c r="AE1148" s="76"/>
      <c r="AF1148" s="77"/>
      <c r="AG1148" s="70"/>
      <c r="AH1148" s="17" t="e">
        <f t="shared" si="86"/>
        <v>#DIV/0!</v>
      </c>
    </row>
    <row r="1149" spans="8:34" hidden="1">
      <c r="H1149" s="2927"/>
      <c r="I1149" s="2927"/>
      <c r="J1149" s="2927"/>
      <c r="K1149" s="2927"/>
      <c r="L1149" s="2928"/>
      <c r="M1149" s="2928"/>
      <c r="N1149" s="2928"/>
      <c r="O1149" s="2928"/>
      <c r="P1149" s="2929"/>
      <c r="Q1149" s="1749"/>
      <c r="R1149" s="2222"/>
      <c r="S1149" s="1749"/>
      <c r="T1149" s="575"/>
      <c r="U1149" s="19"/>
      <c r="V1149" s="19"/>
      <c r="W1149" s="19"/>
      <c r="X1149" s="70" t="e">
        <f>SUM(#REF!)</f>
        <v>#REF!</v>
      </c>
      <c r="Y1149" s="446"/>
      <c r="Z1149" s="446"/>
      <c r="AA1149" s="446"/>
      <c r="AB1149" s="446"/>
      <c r="AC1149" s="446"/>
      <c r="AD1149" s="78"/>
      <c r="AE1149" s="76"/>
      <c r="AF1149" s="77"/>
      <c r="AG1149" s="70">
        <f t="shared" ref="AG1149:AG1154" si="87">SUM(AD1149:AF1149)</f>
        <v>0</v>
      </c>
      <c r="AH1149" s="17" t="e">
        <f t="shared" si="86"/>
        <v>#REF!</v>
      </c>
    </row>
    <row r="1150" spans="8:34" hidden="1">
      <c r="H1150" s="2927"/>
      <c r="I1150" s="2927"/>
      <c r="J1150" s="2927"/>
      <c r="K1150" s="2927"/>
      <c r="L1150" s="2928"/>
      <c r="M1150" s="2928"/>
      <c r="N1150" s="2928"/>
      <c r="O1150" s="2928"/>
      <c r="P1150" s="2929"/>
      <c r="Q1150" s="1749"/>
      <c r="R1150" s="2222"/>
      <c r="S1150" s="1749"/>
      <c r="T1150" s="575"/>
      <c r="U1150" s="19"/>
      <c r="V1150" s="19"/>
      <c r="W1150" s="19"/>
      <c r="X1150" s="70" t="e">
        <f>SUM(#REF!)</f>
        <v>#REF!</v>
      </c>
      <c r="Y1150" s="446"/>
      <c r="Z1150" s="446"/>
      <c r="AA1150" s="446"/>
      <c r="AB1150" s="446"/>
      <c r="AC1150" s="446"/>
      <c r="AD1150" s="78"/>
      <c r="AE1150" s="76"/>
      <c r="AF1150" s="77"/>
      <c r="AG1150" s="70">
        <f t="shared" si="87"/>
        <v>0</v>
      </c>
      <c r="AH1150" s="17" t="e">
        <f t="shared" si="86"/>
        <v>#REF!</v>
      </c>
    </row>
    <row r="1151" spans="8:34" hidden="1">
      <c r="H1151" s="2927"/>
      <c r="I1151" s="2927"/>
      <c r="J1151" s="2927"/>
      <c r="K1151" s="2927"/>
      <c r="L1151" s="2928"/>
      <c r="M1151" s="2928"/>
      <c r="N1151" s="2928"/>
      <c r="O1151" s="2928"/>
      <c r="P1151" s="2929"/>
      <c r="Q1151" s="1749"/>
      <c r="R1151" s="2222"/>
      <c r="S1151" s="1749"/>
      <c r="T1151" s="575"/>
      <c r="U1151" s="19"/>
      <c r="V1151" s="19"/>
      <c r="W1151" s="19"/>
      <c r="X1151" s="70" t="e">
        <f>SUM(#REF!)</f>
        <v>#REF!</v>
      </c>
      <c r="Y1151" s="446"/>
      <c r="Z1151" s="446"/>
      <c r="AA1151" s="446"/>
      <c r="AB1151" s="446"/>
      <c r="AC1151" s="446"/>
      <c r="AD1151" s="78"/>
      <c r="AE1151" s="76"/>
      <c r="AF1151" s="77"/>
      <c r="AG1151" s="70">
        <f t="shared" si="87"/>
        <v>0</v>
      </c>
      <c r="AH1151" s="17" t="e">
        <f t="shared" si="86"/>
        <v>#REF!</v>
      </c>
    </row>
    <row r="1152" spans="8:34" hidden="1">
      <c r="H1152" s="2927"/>
      <c r="I1152" s="2927"/>
      <c r="J1152" s="2927"/>
      <c r="K1152" s="2927"/>
      <c r="L1152" s="2928"/>
      <c r="M1152" s="2928"/>
      <c r="N1152" s="2928"/>
      <c r="O1152" s="2928"/>
      <c r="P1152" s="2929"/>
      <c r="Q1152" s="1749"/>
      <c r="R1152" s="2222"/>
      <c r="S1152" s="1749"/>
      <c r="T1152" s="575"/>
      <c r="U1152" s="19"/>
      <c r="V1152" s="19"/>
      <c r="W1152" s="19"/>
      <c r="X1152" s="70" t="e">
        <f>SUM(#REF!)</f>
        <v>#REF!</v>
      </c>
      <c r="Y1152" s="446"/>
      <c r="Z1152" s="446"/>
      <c r="AA1152" s="446"/>
      <c r="AB1152" s="446"/>
      <c r="AC1152" s="446"/>
      <c r="AD1152" s="78"/>
      <c r="AE1152" s="76"/>
      <c r="AF1152" s="77"/>
      <c r="AG1152" s="70">
        <f t="shared" si="87"/>
        <v>0</v>
      </c>
      <c r="AH1152" s="17" t="e">
        <f t="shared" si="86"/>
        <v>#REF!</v>
      </c>
    </row>
    <row r="1153" spans="8:34" hidden="1">
      <c r="H1153" s="2927"/>
      <c r="I1153" s="2927"/>
      <c r="J1153" s="2927"/>
      <c r="K1153" s="2927"/>
      <c r="L1153" s="2928"/>
      <c r="M1153" s="2928"/>
      <c r="N1153" s="2928"/>
      <c r="O1153" s="2928"/>
      <c r="P1153" s="2929"/>
      <c r="Q1153" s="1749"/>
      <c r="R1153" s="2222"/>
      <c r="S1153" s="1749"/>
      <c r="T1153" s="575"/>
      <c r="U1153" s="19"/>
      <c r="V1153" s="19"/>
      <c r="W1153" s="19"/>
      <c r="X1153" s="70" t="e">
        <f>SUM(#REF!)</f>
        <v>#REF!</v>
      </c>
      <c r="Y1153" s="446"/>
      <c r="Z1153" s="446"/>
      <c r="AA1153" s="446"/>
      <c r="AB1153" s="446"/>
      <c r="AC1153" s="446"/>
      <c r="AD1153" s="78"/>
      <c r="AE1153" s="76"/>
      <c r="AF1153" s="77"/>
      <c r="AG1153" s="70">
        <f t="shared" si="87"/>
        <v>0</v>
      </c>
      <c r="AH1153" s="17" t="e">
        <f t="shared" si="86"/>
        <v>#REF!</v>
      </c>
    </row>
    <row r="1154" spans="8:34" hidden="1">
      <c r="H1154" s="2927"/>
      <c r="I1154" s="2927"/>
      <c r="J1154" s="2927"/>
      <c r="K1154" s="2927"/>
      <c r="L1154" s="2928"/>
      <c r="M1154" s="2928"/>
      <c r="N1154" s="2928"/>
      <c r="O1154" s="2928"/>
      <c r="P1154" s="2929"/>
      <c r="Q1154" s="1749"/>
      <c r="R1154" s="2222"/>
      <c r="S1154" s="1749"/>
      <c r="T1154" s="575"/>
      <c r="U1154" s="19"/>
      <c r="V1154" s="19"/>
      <c r="W1154" s="19"/>
      <c r="X1154" s="70" t="e">
        <f>SUM(#REF!)</f>
        <v>#REF!</v>
      </c>
      <c r="Y1154" s="446"/>
      <c r="Z1154" s="446"/>
      <c r="AA1154" s="446"/>
      <c r="AB1154" s="446"/>
      <c r="AC1154" s="446"/>
      <c r="AD1154" s="78"/>
      <c r="AE1154" s="109">
        <v>2400000</v>
      </c>
      <c r="AF1154" s="77"/>
      <c r="AG1154" s="70">
        <f t="shared" si="87"/>
        <v>2400000</v>
      </c>
      <c r="AH1154" s="17" t="e">
        <f t="shared" si="86"/>
        <v>#REF!</v>
      </c>
    </row>
    <row r="1155" spans="8:34" hidden="1">
      <c r="H1155" s="2921"/>
      <c r="I1155" s="2921"/>
      <c r="J1155" s="2921"/>
      <c r="K1155" s="2921"/>
      <c r="L1155" s="2922"/>
      <c r="M1155" s="2922"/>
      <c r="N1155" s="2922"/>
      <c r="O1155" s="2922"/>
      <c r="P1155" s="2923"/>
      <c r="Q1155" s="1511"/>
      <c r="R1155" s="2220"/>
      <c r="S1155" s="1511"/>
      <c r="T1155" s="572"/>
      <c r="U1155" s="12"/>
      <c r="V1155" s="12"/>
      <c r="W1155" s="12"/>
      <c r="X1155" s="12" t="e">
        <f>SUM(X1157,X1188,X1228,X1288,X1335,X1182)</f>
        <v>#REF!</v>
      </c>
      <c r="Y1155" s="572"/>
      <c r="Z1155" s="572"/>
      <c r="AA1155" s="572"/>
      <c r="AB1155" s="572"/>
      <c r="AC1155" s="572"/>
      <c r="AD1155" s="69">
        <f>SUM(AD1157,AD1188,AD1228,AD1288,AD1335,AD1182)</f>
        <v>14042380</v>
      </c>
      <c r="AE1155" s="5">
        <f>SUM(AE1157,AE1188,AE1228,AE1288,AE1335)</f>
        <v>11000</v>
      </c>
      <c r="AF1155" s="22">
        <f>SUM(AF1157,AF1188,AF1228,AF1288,AF1335)</f>
        <v>305000</v>
      </c>
      <c r="AG1155" s="12">
        <f>SUM(AG1157,AG1188,AG1228,AG1288,AG1335,AG1182)</f>
        <v>14358380</v>
      </c>
      <c r="AH1155" s="41" t="e">
        <f t="shared" si="86"/>
        <v>#REF!</v>
      </c>
    </row>
    <row r="1156" spans="8:34" hidden="1">
      <c r="H1156" s="2921"/>
      <c r="I1156" s="2921"/>
      <c r="J1156" s="2921"/>
      <c r="K1156" s="2921"/>
      <c r="L1156" s="2922"/>
      <c r="M1156" s="2922"/>
      <c r="N1156" s="2922"/>
      <c r="O1156" s="2922"/>
      <c r="P1156" s="2923"/>
      <c r="Q1156" s="1511"/>
      <c r="R1156" s="2220"/>
      <c r="S1156" s="1511"/>
      <c r="T1156" s="572"/>
      <c r="U1156" s="12"/>
      <c r="V1156" s="12"/>
      <c r="W1156" s="12"/>
      <c r="X1156" s="12"/>
      <c r="Y1156" s="572"/>
      <c r="Z1156" s="572"/>
      <c r="AA1156" s="572"/>
      <c r="AB1156" s="572"/>
      <c r="AC1156" s="572"/>
      <c r="AD1156" s="69">
        <v>54</v>
      </c>
      <c r="AE1156" s="5"/>
      <c r="AF1156" s="22"/>
      <c r="AG1156" s="12"/>
      <c r="AH1156" s="41"/>
    </row>
    <row r="1157" spans="8:34" hidden="1">
      <c r="H1157" s="2909"/>
      <c r="I1157" s="2909"/>
      <c r="J1157" s="2909"/>
      <c r="K1157" s="2909"/>
      <c r="L1157" s="2910"/>
      <c r="M1157" s="2910"/>
      <c r="N1157" s="2910"/>
      <c r="O1157" s="2910"/>
      <c r="P1157" s="2911"/>
      <c r="Q1157" s="1260"/>
      <c r="R1157" s="2216"/>
      <c r="S1157" s="1260"/>
      <c r="T1157" s="446"/>
      <c r="U1157" s="70"/>
      <c r="V1157" s="70"/>
      <c r="W1157" s="70"/>
      <c r="X1157" s="70" t="e">
        <f>SUM(X1158,X1169,X1183,X1167)</f>
        <v>#REF!</v>
      </c>
      <c r="Y1157" s="446"/>
      <c r="Z1157" s="446"/>
      <c r="AA1157" s="446"/>
      <c r="AB1157" s="446"/>
      <c r="AC1157" s="446"/>
      <c r="AD1157" s="59">
        <f>SUM(AD1158,AD1167,AD1169,AD1183)</f>
        <v>1549900</v>
      </c>
      <c r="AE1157" s="55">
        <f>SUM(AE1158,AE1167,AE1169,AE1183)</f>
        <v>0</v>
      </c>
      <c r="AF1157" s="56">
        <f>SUM(AF1158,AF1167,AF1169,AF1183)</f>
        <v>0</v>
      </c>
      <c r="AG1157" s="70">
        <f>SUM(AG1158,AG1169,AG1183,AG1167)</f>
        <v>1549900</v>
      </c>
      <c r="AH1157" s="17" t="e">
        <f>AG1157/X1157*100</f>
        <v>#REF!</v>
      </c>
    </row>
    <row r="1158" spans="8:34" hidden="1">
      <c r="H1158" s="2909"/>
      <c r="I1158" s="2909"/>
      <c r="J1158" s="2909"/>
      <c r="K1158" s="2909"/>
      <c r="L1158" s="2910"/>
      <c r="M1158" s="2910"/>
      <c r="N1158" s="2910"/>
      <c r="O1158" s="2910"/>
      <c r="P1158" s="2911"/>
      <c r="Q1158" s="1260"/>
      <c r="R1158" s="2216"/>
      <c r="S1158" s="1260"/>
      <c r="T1158" s="446"/>
      <c r="U1158" s="70"/>
      <c r="V1158" s="70"/>
      <c r="W1158" s="70"/>
      <c r="X1158" s="70" t="e">
        <f t="shared" ref="X1158:AG1158" si="88">SUM(X1159,X1163)</f>
        <v>#REF!</v>
      </c>
      <c r="Y1158" s="446"/>
      <c r="Z1158" s="446"/>
      <c r="AA1158" s="446"/>
      <c r="AB1158" s="446"/>
      <c r="AC1158" s="446"/>
      <c r="AD1158" s="59">
        <f t="shared" si="88"/>
        <v>1347500</v>
      </c>
      <c r="AE1158" s="55">
        <f t="shared" si="88"/>
        <v>0</v>
      </c>
      <c r="AF1158" s="56">
        <f t="shared" si="88"/>
        <v>0</v>
      </c>
      <c r="AG1158" s="70">
        <f t="shared" si="88"/>
        <v>1347500</v>
      </c>
      <c r="AH1158" s="17" t="e">
        <f>AG1158/X1158*100</f>
        <v>#REF!</v>
      </c>
    </row>
    <row r="1159" spans="8:34" hidden="1">
      <c r="H1159" s="2909"/>
      <c r="I1159" s="2909"/>
      <c r="J1159" s="2909"/>
      <c r="K1159" s="2909"/>
      <c r="L1159" s="2910"/>
      <c r="M1159" s="2910"/>
      <c r="N1159" s="2910"/>
      <c r="O1159" s="2910"/>
      <c r="P1159" s="2911"/>
      <c r="Q1159" s="1260"/>
      <c r="R1159" s="2216"/>
      <c r="S1159" s="1260"/>
      <c r="T1159" s="446"/>
      <c r="U1159" s="70"/>
      <c r="V1159" s="70"/>
      <c r="W1159" s="70"/>
      <c r="X1159" s="70" t="e">
        <f>SUM(#REF!)</f>
        <v>#REF!</v>
      </c>
      <c r="Y1159" s="446"/>
      <c r="Z1159" s="446"/>
      <c r="AA1159" s="446"/>
      <c r="AB1159" s="446"/>
      <c r="AC1159" s="446"/>
      <c r="AD1159" s="59">
        <f>SUM(AD1160:AD1162)</f>
        <v>1211000</v>
      </c>
      <c r="AE1159" s="55">
        <f>SUM(AE1160:AE1162)</f>
        <v>0</v>
      </c>
      <c r="AF1159" s="56">
        <f>SUM(AF1160:AF1162)</f>
        <v>0</v>
      </c>
      <c r="AG1159" s="70">
        <f>SUM(AD1159:AF1159)</f>
        <v>1211000</v>
      </c>
      <c r="AH1159" s="17" t="e">
        <f>AG1159/X1159*100</f>
        <v>#REF!</v>
      </c>
    </row>
    <row r="1160" spans="8:34" hidden="1">
      <c r="H1160" s="2924"/>
      <c r="I1160" s="2924"/>
      <c r="J1160" s="2924"/>
      <c r="K1160" s="2924"/>
      <c r="L1160" s="2925"/>
      <c r="M1160" s="2925"/>
      <c r="N1160" s="2925"/>
      <c r="O1160" s="2925"/>
      <c r="P1160" s="2926"/>
      <c r="Q1160" s="1748"/>
      <c r="R1160" s="2221"/>
      <c r="S1160" s="1748"/>
      <c r="T1160" s="679"/>
      <c r="U1160" s="53"/>
      <c r="V1160" s="53"/>
      <c r="W1160" s="53"/>
      <c r="X1160" s="53" t="e">
        <f>SUM(#REF!)</f>
        <v>#REF!</v>
      </c>
      <c r="Y1160" s="679"/>
      <c r="Z1160" s="679"/>
      <c r="AA1160" s="679"/>
      <c r="AB1160" s="679"/>
      <c r="AC1160" s="679"/>
      <c r="AD1160" s="110">
        <v>835000</v>
      </c>
      <c r="AE1160" s="71"/>
      <c r="AF1160" s="72"/>
      <c r="AG1160" s="53">
        <f>SUM(AD1160:AF1160)</f>
        <v>835000</v>
      </c>
      <c r="AH1160" s="17" t="e">
        <f>AG1160/X1160*100</f>
        <v>#REF!</v>
      </c>
    </row>
    <row r="1161" spans="8:34" hidden="1">
      <c r="H1161" s="2924"/>
      <c r="I1161" s="2924"/>
      <c r="J1161" s="2924"/>
      <c r="K1161" s="2924"/>
      <c r="L1161" s="2925"/>
      <c r="M1161" s="2925"/>
      <c r="N1161" s="2925"/>
      <c r="O1161" s="2925"/>
      <c r="P1161" s="2926"/>
      <c r="Q1161" s="1748"/>
      <c r="R1161" s="2221"/>
      <c r="S1161" s="1748"/>
      <c r="T1161" s="679"/>
      <c r="U1161" s="53"/>
      <c r="V1161" s="53"/>
      <c r="W1161" s="53"/>
      <c r="X1161" s="53"/>
      <c r="Y1161" s="679"/>
      <c r="Z1161" s="679"/>
      <c r="AA1161" s="679"/>
      <c r="AB1161" s="679"/>
      <c r="AC1161" s="679"/>
      <c r="AD1161" s="110"/>
      <c r="AE1161" s="71"/>
      <c r="AF1161" s="72"/>
      <c r="AG1161" s="53"/>
      <c r="AH1161" s="17"/>
    </row>
    <row r="1162" spans="8:34" hidden="1">
      <c r="H1162" s="2909"/>
      <c r="I1162" s="2909"/>
      <c r="J1162" s="2909"/>
      <c r="K1162" s="2909"/>
      <c r="L1162" s="2910"/>
      <c r="M1162" s="2910"/>
      <c r="N1162" s="2910"/>
      <c r="O1162" s="2910"/>
      <c r="P1162" s="2911"/>
      <c r="Q1162" s="1260"/>
      <c r="R1162" s="2216"/>
      <c r="S1162" s="1260"/>
      <c r="T1162" s="446"/>
      <c r="U1162" s="70"/>
      <c r="V1162" s="70"/>
      <c r="W1162" s="70"/>
      <c r="X1162" s="53" t="e">
        <f>SUM(#REF!)</f>
        <v>#REF!</v>
      </c>
      <c r="Y1162" s="679"/>
      <c r="Z1162" s="679"/>
      <c r="AA1162" s="679"/>
      <c r="AB1162" s="679"/>
      <c r="AC1162" s="679"/>
      <c r="AD1162" s="110">
        <v>376000</v>
      </c>
      <c r="AE1162" s="55"/>
      <c r="AF1162" s="56"/>
      <c r="AG1162" s="53">
        <f t="shared" ref="AG1162:AG1168" si="89">SUM(AD1162:AF1162)</f>
        <v>376000</v>
      </c>
      <c r="AH1162" s="17" t="e">
        <f t="shared" ref="AH1162:AH1177" si="90">AG1162/X1162*100</f>
        <v>#REF!</v>
      </c>
    </row>
    <row r="1163" spans="8:34" hidden="1">
      <c r="H1163" s="2927"/>
      <c r="I1163" s="2927"/>
      <c r="J1163" s="2927"/>
      <c r="K1163" s="2927"/>
      <c r="L1163" s="2928"/>
      <c r="M1163" s="2928"/>
      <c r="N1163" s="2928"/>
      <c r="O1163" s="2928"/>
      <c r="P1163" s="2929"/>
      <c r="Q1163" s="1749"/>
      <c r="R1163" s="2222"/>
      <c r="S1163" s="1749"/>
      <c r="T1163" s="575"/>
      <c r="U1163" s="19"/>
      <c r="V1163" s="19"/>
      <c r="W1163" s="19"/>
      <c r="X1163" s="70" t="e">
        <f>SUM(#REF!)</f>
        <v>#REF!</v>
      </c>
      <c r="Y1163" s="446"/>
      <c r="Z1163" s="446"/>
      <c r="AA1163" s="446"/>
      <c r="AB1163" s="446"/>
      <c r="AC1163" s="446"/>
      <c r="AD1163" s="78">
        <f>SUM(AD1164:AD1166)</f>
        <v>136500</v>
      </c>
      <c r="AE1163" s="76">
        <f>SUM(AE1164:AE1166)</f>
        <v>0</v>
      </c>
      <c r="AF1163" s="77">
        <f>SUM(AF1164:AF1166)</f>
        <v>0</v>
      </c>
      <c r="AG1163" s="70">
        <f t="shared" si="89"/>
        <v>136500</v>
      </c>
      <c r="AH1163" s="17" t="e">
        <f t="shared" si="90"/>
        <v>#REF!</v>
      </c>
    </row>
    <row r="1164" spans="8:34" hidden="1">
      <c r="H1164" s="2924"/>
      <c r="I1164" s="2924"/>
      <c r="J1164" s="2924"/>
      <c r="K1164" s="2924"/>
      <c r="L1164" s="2925"/>
      <c r="M1164" s="2925"/>
      <c r="N1164" s="2925"/>
      <c r="O1164" s="2925"/>
      <c r="P1164" s="2926"/>
      <c r="Q1164" s="1748"/>
      <c r="R1164" s="2221"/>
      <c r="S1164" s="1748"/>
      <c r="T1164" s="679"/>
      <c r="U1164" s="53"/>
      <c r="V1164" s="53"/>
      <c r="W1164" s="53"/>
      <c r="X1164" s="53" t="e">
        <f>SUM(#REF!)</f>
        <v>#REF!</v>
      </c>
      <c r="Y1164" s="679"/>
      <c r="Z1164" s="679"/>
      <c r="AA1164" s="679"/>
      <c r="AB1164" s="679"/>
      <c r="AC1164" s="679"/>
      <c r="AD1164" s="110">
        <v>16500</v>
      </c>
      <c r="AE1164" s="71"/>
      <c r="AF1164" s="72"/>
      <c r="AG1164" s="53">
        <f t="shared" si="89"/>
        <v>16500</v>
      </c>
      <c r="AH1164" s="17" t="e">
        <f t="shared" si="90"/>
        <v>#REF!</v>
      </c>
    </row>
    <row r="1165" spans="8:34" hidden="1">
      <c r="H1165" s="2924"/>
      <c r="I1165" s="2924"/>
      <c r="J1165" s="2924"/>
      <c r="K1165" s="2924"/>
      <c r="L1165" s="2925"/>
      <c r="M1165" s="2925"/>
      <c r="N1165" s="2925"/>
      <c r="O1165" s="2925"/>
      <c r="P1165" s="2926"/>
      <c r="Q1165" s="1748"/>
      <c r="R1165" s="2221"/>
      <c r="S1165" s="1748"/>
      <c r="T1165" s="679"/>
      <c r="U1165" s="53"/>
      <c r="V1165" s="53"/>
      <c r="W1165" s="53"/>
      <c r="X1165" s="53" t="e">
        <f>SUM(#REF!)</f>
        <v>#REF!</v>
      </c>
      <c r="Y1165" s="679"/>
      <c r="Z1165" s="679"/>
      <c r="AA1165" s="679"/>
      <c r="AB1165" s="679"/>
      <c r="AC1165" s="679"/>
      <c r="AD1165" s="110">
        <v>95000</v>
      </c>
      <c r="AE1165" s="71"/>
      <c r="AF1165" s="72"/>
      <c r="AG1165" s="53">
        <f t="shared" si="89"/>
        <v>95000</v>
      </c>
      <c r="AH1165" s="17" t="e">
        <f t="shared" si="90"/>
        <v>#REF!</v>
      </c>
    </row>
    <row r="1166" spans="8:34" hidden="1">
      <c r="H1166" s="2909"/>
      <c r="I1166" s="2909"/>
      <c r="J1166" s="2909"/>
      <c r="K1166" s="2909"/>
      <c r="L1166" s="2910"/>
      <c r="M1166" s="2910"/>
      <c r="N1166" s="2910"/>
      <c r="O1166" s="2910"/>
      <c r="P1166" s="2911"/>
      <c r="Q1166" s="1260"/>
      <c r="R1166" s="2216"/>
      <c r="S1166" s="1260"/>
      <c r="T1166" s="446"/>
      <c r="U1166" s="70"/>
      <c r="V1166" s="70"/>
      <c r="W1166" s="70"/>
      <c r="X1166" s="53" t="e">
        <f>SUM(#REF!)</f>
        <v>#REF!</v>
      </c>
      <c r="Y1166" s="679"/>
      <c r="Z1166" s="679"/>
      <c r="AA1166" s="679"/>
      <c r="AB1166" s="679"/>
      <c r="AC1166" s="679"/>
      <c r="AD1166" s="110">
        <v>25000</v>
      </c>
      <c r="AE1166" s="55"/>
      <c r="AF1166" s="56"/>
      <c r="AG1166" s="53">
        <f t="shared" si="89"/>
        <v>25000</v>
      </c>
      <c r="AH1166" s="17" t="e">
        <f t="shared" si="90"/>
        <v>#REF!</v>
      </c>
    </row>
    <row r="1167" spans="8:34" hidden="1">
      <c r="H1167" s="2909"/>
      <c r="I1167" s="2909"/>
      <c r="J1167" s="2909"/>
      <c r="K1167" s="2909"/>
      <c r="L1167" s="2910"/>
      <c r="M1167" s="2910"/>
      <c r="N1167" s="2910"/>
      <c r="O1167" s="2910"/>
      <c r="P1167" s="2911"/>
      <c r="Q1167" s="1260"/>
      <c r="R1167" s="2216"/>
      <c r="S1167" s="1260"/>
      <c r="T1167" s="446"/>
      <c r="U1167" s="70"/>
      <c r="V1167" s="70"/>
      <c r="W1167" s="70"/>
      <c r="X1167" s="70" t="e">
        <f>SUM(#REF!)</f>
        <v>#REF!</v>
      </c>
      <c r="Y1167" s="446"/>
      <c r="Z1167" s="446"/>
      <c r="AA1167" s="446"/>
      <c r="AB1167" s="446"/>
      <c r="AC1167" s="446"/>
      <c r="AD1167" s="59">
        <f t="shared" ref="AD1167:AF1167" si="91">SUM(AD1168)</f>
        <v>129000</v>
      </c>
      <c r="AE1167" s="55">
        <f t="shared" si="91"/>
        <v>0</v>
      </c>
      <c r="AF1167" s="56">
        <f t="shared" si="91"/>
        <v>0</v>
      </c>
      <c r="AG1167" s="70">
        <f t="shared" si="89"/>
        <v>129000</v>
      </c>
      <c r="AH1167" s="17" t="e">
        <f t="shared" si="90"/>
        <v>#REF!</v>
      </c>
    </row>
    <row r="1168" spans="8:34" hidden="1">
      <c r="H1168" s="2909"/>
      <c r="I1168" s="2909"/>
      <c r="J1168" s="2909"/>
      <c r="K1168" s="2909"/>
      <c r="L1168" s="2910"/>
      <c r="M1168" s="2910"/>
      <c r="N1168" s="2910"/>
      <c r="O1168" s="2910"/>
      <c r="P1168" s="2911"/>
      <c r="Q1168" s="1260"/>
      <c r="R1168" s="2216"/>
      <c r="S1168" s="1260"/>
      <c r="T1168" s="446"/>
      <c r="U1168" s="70"/>
      <c r="V1168" s="70"/>
      <c r="W1168" s="70"/>
      <c r="X1168" s="53" t="e">
        <f>SUM(#REF!)</f>
        <v>#REF!</v>
      </c>
      <c r="Y1168" s="679"/>
      <c r="Z1168" s="679"/>
      <c r="AA1168" s="679"/>
      <c r="AB1168" s="679"/>
      <c r="AC1168" s="679"/>
      <c r="AD1168" s="110">
        <v>129000</v>
      </c>
      <c r="AE1168" s="55"/>
      <c r="AF1168" s="56"/>
      <c r="AG1168" s="53">
        <f t="shared" si="89"/>
        <v>129000</v>
      </c>
      <c r="AH1168" s="17" t="e">
        <f t="shared" si="90"/>
        <v>#REF!</v>
      </c>
    </row>
    <row r="1169" spans="8:34" hidden="1">
      <c r="H1169" s="2909"/>
      <c r="I1169" s="2909"/>
      <c r="J1169" s="2909"/>
      <c r="K1169" s="2909"/>
      <c r="L1169" s="2910"/>
      <c r="M1169" s="2910"/>
      <c r="N1169" s="2910"/>
      <c r="O1169" s="2910"/>
      <c r="P1169" s="2911"/>
      <c r="Q1169" s="1260"/>
      <c r="R1169" s="2216"/>
      <c r="S1169" s="1260"/>
      <c r="T1169" s="446"/>
      <c r="U1169" s="70"/>
      <c r="V1169" s="70"/>
      <c r="W1169" s="70"/>
      <c r="X1169" s="70" t="e">
        <f t="shared" ref="X1169:AG1169" si="92">SUM(X1170:X1175)</f>
        <v>#REF!</v>
      </c>
      <c r="Y1169" s="446"/>
      <c r="Z1169" s="446"/>
      <c r="AA1169" s="446"/>
      <c r="AB1169" s="446"/>
      <c r="AC1169" s="446"/>
      <c r="AD1169" s="59">
        <f t="shared" si="92"/>
        <v>73400</v>
      </c>
      <c r="AE1169" s="55">
        <f t="shared" si="92"/>
        <v>0</v>
      </c>
      <c r="AF1169" s="56">
        <f t="shared" si="92"/>
        <v>0</v>
      </c>
      <c r="AG1169" s="70">
        <f t="shared" si="92"/>
        <v>73400</v>
      </c>
      <c r="AH1169" s="17" t="e">
        <f t="shared" si="90"/>
        <v>#REF!</v>
      </c>
    </row>
    <row r="1170" spans="8:34" hidden="1">
      <c r="H1170" s="2924"/>
      <c r="I1170" s="2924"/>
      <c r="J1170" s="2924"/>
      <c r="K1170" s="2924"/>
      <c r="L1170" s="2925"/>
      <c r="M1170" s="2925"/>
      <c r="N1170" s="2925"/>
      <c r="O1170" s="2925"/>
      <c r="P1170" s="2926"/>
      <c r="Q1170" s="1748"/>
      <c r="R1170" s="2221"/>
      <c r="S1170" s="1748"/>
      <c r="T1170" s="679"/>
      <c r="U1170" s="53"/>
      <c r="V1170" s="53"/>
      <c r="W1170" s="53"/>
      <c r="X1170" s="53" t="e">
        <f>SUM(#REF!)</f>
        <v>#REF!</v>
      </c>
      <c r="Y1170" s="679"/>
      <c r="Z1170" s="679"/>
      <c r="AA1170" s="679"/>
      <c r="AB1170" s="679"/>
      <c r="AC1170" s="679"/>
      <c r="AD1170" s="110">
        <v>2500</v>
      </c>
      <c r="AE1170" s="71"/>
      <c r="AF1170" s="72"/>
      <c r="AG1170" s="53">
        <f>SUM(AD1170:AF1170)</f>
        <v>2500</v>
      </c>
      <c r="AH1170" s="17" t="e">
        <f t="shared" si="90"/>
        <v>#REF!</v>
      </c>
    </row>
    <row r="1171" spans="8:34" hidden="1">
      <c r="H1171" s="2924"/>
      <c r="I1171" s="2924"/>
      <c r="J1171" s="2924"/>
      <c r="K1171" s="2924"/>
      <c r="L1171" s="2925"/>
      <c r="M1171" s="2925"/>
      <c r="N1171" s="2925"/>
      <c r="O1171" s="2925"/>
      <c r="P1171" s="2926"/>
      <c r="Q1171" s="1748"/>
      <c r="R1171" s="2221"/>
      <c r="S1171" s="1748"/>
      <c r="T1171" s="679"/>
      <c r="U1171" s="53"/>
      <c r="V1171" s="53"/>
      <c r="W1171" s="53"/>
      <c r="X1171" s="53" t="e">
        <f>SUM(#REF!)</f>
        <v>#REF!</v>
      </c>
      <c r="Y1171" s="679"/>
      <c r="Z1171" s="679"/>
      <c r="AA1171" s="679"/>
      <c r="AB1171" s="679"/>
      <c r="AC1171" s="679"/>
      <c r="AD1171" s="110">
        <v>14000</v>
      </c>
      <c r="AE1171" s="71"/>
      <c r="AF1171" s="72"/>
      <c r="AG1171" s="53">
        <f>SUM(AD1171:AF1171)</f>
        <v>14000</v>
      </c>
      <c r="AH1171" s="17" t="e">
        <f t="shared" si="90"/>
        <v>#REF!</v>
      </c>
    </row>
    <row r="1172" spans="8:34" hidden="1">
      <c r="H1172" s="2924"/>
      <c r="I1172" s="2924"/>
      <c r="J1172" s="2924"/>
      <c r="K1172" s="2924"/>
      <c r="L1172" s="2925"/>
      <c r="M1172" s="2925"/>
      <c r="N1172" s="2925"/>
      <c r="O1172" s="2925"/>
      <c r="P1172" s="2926"/>
      <c r="Q1172" s="1748"/>
      <c r="R1172" s="2221"/>
      <c r="S1172" s="1748"/>
      <c r="T1172" s="679"/>
      <c r="U1172" s="53"/>
      <c r="V1172" s="53"/>
      <c r="W1172" s="53"/>
      <c r="X1172" s="53" t="e">
        <f>SUM(#REF!)</f>
        <v>#REF!</v>
      </c>
      <c r="Y1172" s="679"/>
      <c r="Z1172" s="679"/>
      <c r="AA1172" s="679"/>
      <c r="AB1172" s="679"/>
      <c r="AC1172" s="679"/>
      <c r="AD1172" s="110">
        <v>18000</v>
      </c>
      <c r="AE1172" s="71"/>
      <c r="AF1172" s="72"/>
      <c r="AG1172" s="53">
        <f>SUM(AD1172:AF1172)</f>
        <v>18000</v>
      </c>
      <c r="AH1172" s="17" t="e">
        <f t="shared" si="90"/>
        <v>#REF!</v>
      </c>
    </row>
    <row r="1173" spans="8:34" hidden="1">
      <c r="H1173" s="2924"/>
      <c r="I1173" s="2924"/>
      <c r="J1173" s="2924"/>
      <c r="K1173" s="2924"/>
      <c r="L1173" s="2925"/>
      <c r="M1173" s="2925"/>
      <c r="N1173" s="2925"/>
      <c r="O1173" s="2925"/>
      <c r="P1173" s="2926"/>
      <c r="Q1173" s="1748"/>
      <c r="R1173" s="2221"/>
      <c r="S1173" s="1748"/>
      <c r="T1173" s="679"/>
      <c r="U1173" s="53"/>
      <c r="V1173" s="53"/>
      <c r="W1173" s="53"/>
      <c r="X1173" s="53" t="e">
        <f>SUM(#REF!)</f>
        <v>#REF!</v>
      </c>
      <c r="Y1173" s="679"/>
      <c r="Z1173" s="679"/>
      <c r="AA1173" s="679"/>
      <c r="AB1173" s="679"/>
      <c r="AC1173" s="679"/>
      <c r="AD1173" s="111">
        <v>21000</v>
      </c>
      <c r="AE1173" s="71"/>
      <c r="AF1173" s="72"/>
      <c r="AG1173" s="53">
        <f>SUM(AD1173:AF1173)</f>
        <v>21000</v>
      </c>
      <c r="AH1173" s="17" t="e">
        <f t="shared" si="90"/>
        <v>#REF!</v>
      </c>
    </row>
    <row r="1174" spans="8:34" hidden="1">
      <c r="H1174" s="2924"/>
      <c r="I1174" s="2924"/>
      <c r="J1174" s="2924"/>
      <c r="K1174" s="2924"/>
      <c r="L1174" s="2925"/>
      <c r="M1174" s="2925"/>
      <c r="N1174" s="2925"/>
      <c r="O1174" s="2925"/>
      <c r="P1174" s="2926"/>
      <c r="Q1174" s="1748"/>
      <c r="R1174" s="2221"/>
      <c r="S1174" s="1748"/>
      <c r="T1174" s="679"/>
      <c r="U1174" s="53"/>
      <c r="V1174" s="53"/>
      <c r="W1174" s="53"/>
      <c r="X1174" s="53" t="e">
        <f>SUM(#REF!)</f>
        <v>#REF!</v>
      </c>
      <c r="Y1174" s="679"/>
      <c r="Z1174" s="679"/>
      <c r="AA1174" s="679"/>
      <c r="AB1174" s="679"/>
      <c r="AC1174" s="679"/>
      <c r="AD1174" s="111">
        <v>6000</v>
      </c>
      <c r="AE1174" s="71"/>
      <c r="AF1174" s="72"/>
      <c r="AG1174" s="53">
        <f>SUM(AD1174:AF1174)</f>
        <v>6000</v>
      </c>
      <c r="AH1174" s="17" t="e">
        <f t="shared" si="90"/>
        <v>#REF!</v>
      </c>
    </row>
    <row r="1175" spans="8:34" hidden="1">
      <c r="H1175" s="2909"/>
      <c r="I1175" s="2909"/>
      <c r="J1175" s="2909"/>
      <c r="K1175" s="2909"/>
      <c r="L1175" s="2910"/>
      <c r="M1175" s="2910"/>
      <c r="N1175" s="2910"/>
      <c r="O1175" s="2910"/>
      <c r="P1175" s="2911"/>
      <c r="Q1175" s="1260"/>
      <c r="R1175" s="2216"/>
      <c r="S1175" s="1260"/>
      <c r="T1175" s="446"/>
      <c r="U1175" s="70"/>
      <c r="V1175" s="70"/>
      <c r="W1175" s="70"/>
      <c r="X1175" s="70" t="e">
        <f t="shared" ref="X1175:AG1175" si="93">SUM(X1176:X1181)</f>
        <v>#REF!</v>
      </c>
      <c r="Y1175" s="446"/>
      <c r="Z1175" s="446"/>
      <c r="AA1175" s="446"/>
      <c r="AB1175" s="446"/>
      <c r="AC1175" s="446"/>
      <c r="AD1175" s="59">
        <f t="shared" si="93"/>
        <v>11900</v>
      </c>
      <c r="AE1175" s="55">
        <f t="shared" si="93"/>
        <v>0</v>
      </c>
      <c r="AF1175" s="56">
        <f t="shared" si="93"/>
        <v>0</v>
      </c>
      <c r="AG1175" s="70">
        <f t="shared" si="93"/>
        <v>11900</v>
      </c>
      <c r="AH1175" s="17" t="e">
        <f t="shared" si="90"/>
        <v>#REF!</v>
      </c>
    </row>
    <row r="1176" spans="8:34" hidden="1">
      <c r="H1176" s="2924"/>
      <c r="I1176" s="2924"/>
      <c r="J1176" s="2924"/>
      <c r="K1176" s="2924"/>
      <c r="L1176" s="2925"/>
      <c r="M1176" s="2925"/>
      <c r="N1176" s="2925"/>
      <c r="O1176" s="2925"/>
      <c r="P1176" s="2926"/>
      <c r="Q1176" s="1748"/>
      <c r="R1176" s="2221"/>
      <c r="S1176" s="1748"/>
      <c r="T1176" s="679"/>
      <c r="U1176" s="53"/>
      <c r="V1176" s="53"/>
      <c r="W1176" s="53"/>
      <c r="X1176" s="53" t="e">
        <f>SUM(#REF!)</f>
        <v>#REF!</v>
      </c>
      <c r="Y1176" s="679"/>
      <c r="Z1176" s="679"/>
      <c r="AA1176" s="679"/>
      <c r="AB1176" s="679"/>
      <c r="AC1176" s="679"/>
      <c r="AD1176" s="112">
        <v>2000</v>
      </c>
      <c r="AE1176" s="71"/>
      <c r="AF1176" s="72"/>
      <c r="AG1176" s="53">
        <f t="shared" ref="AG1176:AG1181" si="94">SUM(AD1176:AF1176)</f>
        <v>2000</v>
      </c>
      <c r="AH1176" s="17" t="e">
        <f t="shared" si="90"/>
        <v>#REF!</v>
      </c>
    </row>
    <row r="1177" spans="8:34" hidden="1">
      <c r="H1177" s="2924"/>
      <c r="I1177" s="2924"/>
      <c r="J1177" s="2924"/>
      <c r="K1177" s="2924"/>
      <c r="L1177" s="2925"/>
      <c r="M1177" s="2925"/>
      <c r="N1177" s="2925"/>
      <c r="O1177" s="2925"/>
      <c r="P1177" s="2926"/>
      <c r="Q1177" s="1748"/>
      <c r="R1177" s="2221"/>
      <c r="S1177" s="1748"/>
      <c r="T1177" s="679"/>
      <c r="U1177" s="53"/>
      <c r="V1177" s="53"/>
      <c r="W1177" s="53"/>
      <c r="X1177" s="53" t="e">
        <f>SUM(#REF!)</f>
        <v>#REF!</v>
      </c>
      <c r="Y1177" s="679"/>
      <c r="Z1177" s="679"/>
      <c r="AA1177" s="679"/>
      <c r="AB1177" s="679"/>
      <c r="AC1177" s="679"/>
      <c r="AD1177" s="112">
        <v>1000</v>
      </c>
      <c r="AE1177" s="71"/>
      <c r="AF1177" s="72"/>
      <c r="AG1177" s="53">
        <f t="shared" si="94"/>
        <v>1000</v>
      </c>
      <c r="AH1177" s="17" t="e">
        <f t="shared" si="90"/>
        <v>#REF!</v>
      </c>
    </row>
    <row r="1178" spans="8:34" hidden="1">
      <c r="H1178" s="2924"/>
      <c r="I1178" s="2924"/>
      <c r="J1178" s="2924"/>
      <c r="K1178" s="2924"/>
      <c r="L1178" s="2925"/>
      <c r="M1178" s="2925"/>
      <c r="N1178" s="2925"/>
      <c r="O1178" s="2925"/>
      <c r="P1178" s="2926"/>
      <c r="Q1178" s="1748"/>
      <c r="R1178" s="2221"/>
      <c r="S1178" s="1748"/>
      <c r="T1178" s="679"/>
      <c r="U1178" s="53"/>
      <c r="V1178" s="53"/>
      <c r="W1178" s="53"/>
      <c r="X1178" s="53" t="e">
        <f>SUM(#REF!)</f>
        <v>#REF!</v>
      </c>
      <c r="Y1178" s="679"/>
      <c r="Z1178" s="679"/>
      <c r="AA1178" s="679"/>
      <c r="AB1178" s="679"/>
      <c r="AC1178" s="679"/>
      <c r="AD1178" s="112">
        <v>1000</v>
      </c>
      <c r="AE1178" s="71"/>
      <c r="AF1178" s="72"/>
      <c r="AG1178" s="53">
        <f t="shared" si="94"/>
        <v>1000</v>
      </c>
      <c r="AH1178" s="17"/>
    </row>
    <row r="1179" spans="8:34" hidden="1">
      <c r="H1179" s="2924"/>
      <c r="I1179" s="2924"/>
      <c r="J1179" s="2924"/>
      <c r="K1179" s="2924"/>
      <c r="L1179" s="2925"/>
      <c r="M1179" s="2925"/>
      <c r="N1179" s="2925"/>
      <c r="O1179" s="2925"/>
      <c r="P1179" s="2926"/>
      <c r="Q1179" s="1748"/>
      <c r="R1179" s="2221"/>
      <c r="S1179" s="1748"/>
      <c r="T1179" s="679"/>
      <c r="U1179" s="53"/>
      <c r="V1179" s="53"/>
      <c r="W1179" s="53"/>
      <c r="X1179" s="53" t="e">
        <f>SUM(#REF!)</f>
        <v>#REF!</v>
      </c>
      <c r="Y1179" s="679"/>
      <c r="Z1179" s="679"/>
      <c r="AA1179" s="679"/>
      <c r="AB1179" s="679"/>
      <c r="AC1179" s="679"/>
      <c r="AD1179" s="112">
        <v>3900</v>
      </c>
      <c r="AE1179" s="71"/>
      <c r="AF1179" s="72"/>
      <c r="AG1179" s="53">
        <f t="shared" si="94"/>
        <v>3900</v>
      </c>
      <c r="AH1179" s="17" t="e">
        <f>AG1179/X1179*100</f>
        <v>#REF!</v>
      </c>
    </row>
    <row r="1180" spans="8:34" hidden="1">
      <c r="H1180" s="2924"/>
      <c r="I1180" s="2924"/>
      <c r="J1180" s="2924"/>
      <c r="K1180" s="2924"/>
      <c r="L1180" s="2925"/>
      <c r="M1180" s="2925"/>
      <c r="N1180" s="2925"/>
      <c r="O1180" s="2925"/>
      <c r="P1180" s="2926"/>
      <c r="Q1180" s="1748"/>
      <c r="R1180" s="2221"/>
      <c r="S1180" s="1748"/>
      <c r="T1180" s="679"/>
      <c r="U1180" s="53"/>
      <c r="V1180" s="53"/>
      <c r="W1180" s="53"/>
      <c r="X1180" s="53" t="e">
        <f>SUM(#REF!)</f>
        <v>#REF!</v>
      </c>
      <c r="Y1180" s="679"/>
      <c r="Z1180" s="679"/>
      <c r="AA1180" s="679"/>
      <c r="AB1180" s="679"/>
      <c r="AC1180" s="679"/>
      <c r="AD1180" s="112">
        <v>2000</v>
      </c>
      <c r="AE1180" s="71"/>
      <c r="AF1180" s="72"/>
      <c r="AG1180" s="53">
        <f t="shared" si="94"/>
        <v>2000</v>
      </c>
      <c r="AH1180" s="17" t="e">
        <f>AG1180/X1180*100</f>
        <v>#REF!</v>
      </c>
    </row>
    <row r="1181" spans="8:34" hidden="1">
      <c r="H1181" s="2924"/>
      <c r="I1181" s="2924"/>
      <c r="J1181" s="2924"/>
      <c r="K1181" s="2924"/>
      <c r="L1181" s="2925"/>
      <c r="M1181" s="2925"/>
      <c r="N1181" s="2925"/>
      <c r="O1181" s="2925"/>
      <c r="P1181" s="2926"/>
      <c r="Q1181" s="1748"/>
      <c r="R1181" s="2221"/>
      <c r="S1181" s="1748"/>
      <c r="T1181" s="679"/>
      <c r="U1181" s="53"/>
      <c r="V1181" s="53"/>
      <c r="W1181" s="53"/>
      <c r="X1181" s="53" t="e">
        <f>SUM(#REF!)</f>
        <v>#REF!</v>
      </c>
      <c r="Y1181" s="679"/>
      <c r="Z1181" s="679"/>
      <c r="AA1181" s="679"/>
      <c r="AB1181" s="679"/>
      <c r="AC1181" s="679"/>
      <c r="AD1181" s="112">
        <v>2000</v>
      </c>
      <c r="AE1181" s="71"/>
      <c r="AF1181" s="72"/>
      <c r="AG1181" s="53">
        <f t="shared" si="94"/>
        <v>2000</v>
      </c>
      <c r="AH1181" s="17" t="e">
        <f>AG1181/X1181*100</f>
        <v>#REF!</v>
      </c>
    </row>
    <row r="1182" spans="8:34" hidden="1">
      <c r="H1182" s="2909"/>
      <c r="I1182" s="2909"/>
      <c r="J1182" s="2909"/>
      <c r="K1182" s="2909"/>
      <c r="L1182" s="2910"/>
      <c r="M1182" s="2910"/>
      <c r="N1182" s="2910"/>
      <c r="O1182" s="2910"/>
      <c r="P1182" s="2911"/>
      <c r="Q1182" s="1260"/>
      <c r="R1182" s="2216"/>
      <c r="S1182" s="1260"/>
      <c r="T1182" s="446"/>
      <c r="U1182" s="70"/>
      <c r="V1182" s="70"/>
      <c r="W1182" s="70"/>
      <c r="X1182" s="70"/>
      <c r="Y1182" s="446"/>
      <c r="Z1182" s="446"/>
      <c r="AA1182" s="446"/>
      <c r="AB1182" s="446"/>
      <c r="AC1182" s="446"/>
      <c r="AD1182" s="113"/>
      <c r="AE1182" s="55"/>
      <c r="AF1182" s="56"/>
      <c r="AG1182" s="70"/>
      <c r="AH1182" s="17"/>
    </row>
    <row r="1183" spans="8:34" hidden="1">
      <c r="H1183" s="2909"/>
      <c r="I1183" s="2909"/>
      <c r="J1183" s="2909"/>
      <c r="K1183" s="2909"/>
      <c r="L1183" s="2910"/>
      <c r="M1183" s="2910"/>
      <c r="N1183" s="2910"/>
      <c r="O1183" s="2910"/>
      <c r="P1183" s="2911"/>
      <c r="Q1183" s="1260"/>
      <c r="R1183" s="2216"/>
      <c r="S1183" s="1260"/>
      <c r="T1183" s="446"/>
      <c r="U1183" s="70"/>
      <c r="V1183" s="70"/>
      <c r="W1183" s="70"/>
      <c r="X1183" s="70"/>
      <c r="Y1183" s="446"/>
      <c r="Z1183" s="446"/>
      <c r="AA1183" s="446"/>
      <c r="AB1183" s="446"/>
      <c r="AC1183" s="446"/>
      <c r="AD1183" s="59"/>
      <c r="AE1183" s="55"/>
      <c r="AF1183" s="56"/>
      <c r="AG1183" s="70"/>
      <c r="AH1183" s="17"/>
    </row>
    <row r="1184" spans="8:34" hidden="1">
      <c r="H1184" s="2924"/>
      <c r="I1184" s="2924"/>
      <c r="J1184" s="2924"/>
      <c r="K1184" s="2924"/>
      <c r="L1184" s="2925"/>
      <c r="M1184" s="2925"/>
      <c r="N1184" s="2925"/>
      <c r="O1184" s="2925"/>
      <c r="P1184" s="2926"/>
      <c r="Q1184" s="1748"/>
      <c r="R1184" s="2221"/>
      <c r="S1184" s="1748"/>
      <c r="T1184" s="679"/>
      <c r="U1184" s="53"/>
      <c r="V1184" s="53"/>
      <c r="W1184" s="53"/>
      <c r="X1184" s="53"/>
      <c r="Y1184" s="679"/>
      <c r="Z1184" s="679"/>
      <c r="AA1184" s="679"/>
      <c r="AB1184" s="679"/>
      <c r="AC1184" s="679"/>
      <c r="AD1184" s="112"/>
      <c r="AE1184" s="71"/>
      <c r="AF1184" s="72"/>
      <c r="AG1184" s="53"/>
      <c r="AH1184" s="17"/>
    </row>
    <row r="1185" spans="8:34" hidden="1">
      <c r="H1185" s="2924"/>
      <c r="I1185" s="2924"/>
      <c r="J1185" s="2924"/>
      <c r="K1185" s="2924"/>
      <c r="L1185" s="2925"/>
      <c r="M1185" s="2925"/>
      <c r="N1185" s="2925"/>
      <c r="O1185" s="2925"/>
      <c r="P1185" s="2926"/>
      <c r="Q1185" s="1748"/>
      <c r="R1185" s="2221"/>
      <c r="S1185" s="1748"/>
      <c r="T1185" s="679"/>
      <c r="U1185" s="53"/>
      <c r="V1185" s="53"/>
      <c r="W1185" s="53"/>
      <c r="X1185" s="53"/>
      <c r="Y1185" s="679"/>
      <c r="Z1185" s="679"/>
      <c r="AA1185" s="679"/>
      <c r="AB1185" s="679"/>
      <c r="AC1185" s="679"/>
      <c r="AD1185" s="112"/>
      <c r="AE1185" s="71"/>
      <c r="AF1185" s="72"/>
      <c r="AG1185" s="53"/>
      <c r="AH1185" s="17" t="e">
        <f>AG1185/X1185*100</f>
        <v>#DIV/0!</v>
      </c>
    </row>
    <row r="1186" spans="8:34" hidden="1">
      <c r="H1186" s="2924"/>
      <c r="I1186" s="2924"/>
      <c r="J1186" s="2924"/>
      <c r="K1186" s="2924"/>
      <c r="L1186" s="2925"/>
      <c r="M1186" s="2925"/>
      <c r="N1186" s="2925"/>
      <c r="O1186" s="2925"/>
      <c r="P1186" s="2926"/>
      <c r="Q1186" s="1748"/>
      <c r="R1186" s="2221"/>
      <c r="S1186" s="1748"/>
      <c r="T1186" s="679"/>
      <c r="U1186" s="53"/>
      <c r="V1186" s="53"/>
      <c r="W1186" s="53"/>
      <c r="X1186" s="53"/>
      <c r="Y1186" s="679"/>
      <c r="Z1186" s="679"/>
      <c r="AA1186" s="679"/>
      <c r="AB1186" s="679"/>
      <c r="AC1186" s="679"/>
      <c r="AD1186" s="52"/>
      <c r="AE1186" s="71"/>
      <c r="AF1186" s="72"/>
      <c r="AG1186" s="53"/>
      <c r="AH1186" s="17"/>
    </row>
    <row r="1187" spans="8:34" hidden="1">
      <c r="H1187" s="2909"/>
      <c r="I1187" s="2909"/>
      <c r="J1187" s="2909"/>
      <c r="K1187" s="2909"/>
      <c r="L1187" s="2910"/>
      <c r="M1187" s="2910"/>
      <c r="N1187" s="2910"/>
      <c r="O1187" s="2910"/>
      <c r="P1187" s="2911"/>
      <c r="Q1187" s="1260"/>
      <c r="R1187" s="2216"/>
      <c r="S1187" s="1260"/>
      <c r="T1187" s="446"/>
      <c r="U1187" s="70"/>
      <c r="V1187" s="70"/>
      <c r="W1187" s="70"/>
      <c r="X1187" s="70"/>
      <c r="Y1187" s="446"/>
      <c r="Z1187" s="446"/>
      <c r="AA1187" s="446"/>
      <c r="AB1187" s="446"/>
      <c r="AC1187" s="446"/>
      <c r="AD1187" s="52"/>
      <c r="AE1187" s="71"/>
      <c r="AF1187" s="72"/>
      <c r="AG1187" s="53"/>
      <c r="AH1187" s="17"/>
    </row>
    <row r="1188" spans="8:34" hidden="1">
      <c r="H1188" s="2909"/>
      <c r="I1188" s="2909"/>
      <c r="J1188" s="2909"/>
      <c r="K1188" s="2909"/>
      <c r="L1188" s="2910"/>
      <c r="M1188" s="2910"/>
      <c r="N1188" s="2910"/>
      <c r="O1188" s="2910"/>
      <c r="P1188" s="2911"/>
      <c r="Q1188" s="1260"/>
      <c r="R1188" s="2216"/>
      <c r="S1188" s="1260"/>
      <c r="T1188" s="446"/>
      <c r="U1188" s="70"/>
      <c r="V1188" s="70"/>
      <c r="W1188" s="70"/>
      <c r="X1188" s="70" t="e">
        <f>SUM(X1189,X1199:X1208,X1221:X1225)</f>
        <v>#REF!</v>
      </c>
      <c r="Y1188" s="446"/>
      <c r="Z1188" s="446"/>
      <c r="AA1188" s="446"/>
      <c r="AB1188" s="446"/>
      <c r="AC1188" s="446"/>
      <c r="AD1188" s="59">
        <f>SUM(AD1189,AD1199:AD1208,AD1225,AD1198,AD1222,AD1221)</f>
        <v>3076970</v>
      </c>
      <c r="AE1188" s="55">
        <f>SUM(AE1189,AE1199:AE1208,AE1225,)</f>
        <v>0</v>
      </c>
      <c r="AF1188" s="56">
        <f>SUM(AF1189,AF1199:AF1208,AF1225,AF1223,AF1224)</f>
        <v>305000</v>
      </c>
      <c r="AG1188" s="70">
        <f>SUM(AG1189,AG1199:AG1208,AG1221:AG1225)</f>
        <v>3381970</v>
      </c>
      <c r="AH1188" s="17" t="e">
        <f t="shared" ref="AH1188:AH1193" si="95">AG1188/X1188*100</f>
        <v>#REF!</v>
      </c>
    </row>
    <row r="1189" spans="8:34" hidden="1">
      <c r="H1189" s="2909"/>
      <c r="I1189" s="2909"/>
      <c r="J1189" s="2909"/>
      <c r="K1189" s="2909"/>
      <c r="L1189" s="2910"/>
      <c r="M1189" s="2910"/>
      <c r="N1189" s="2910"/>
      <c r="O1189" s="2910"/>
      <c r="P1189" s="2911"/>
      <c r="Q1189" s="1260"/>
      <c r="R1189" s="2216"/>
      <c r="S1189" s="1260"/>
      <c r="T1189" s="446"/>
      <c r="U1189" s="70"/>
      <c r="V1189" s="70"/>
      <c r="W1189" s="70"/>
      <c r="X1189" s="70" t="e">
        <f>SUM(X1190:X1197)</f>
        <v>#REF!</v>
      </c>
      <c r="Y1189" s="446"/>
      <c r="Z1189" s="446"/>
      <c r="AA1189" s="446"/>
      <c r="AB1189" s="446"/>
      <c r="AC1189" s="446"/>
      <c r="AD1189" s="59">
        <f>SUM(AD1190:AD1195,AD1196:AD1197)</f>
        <v>185000</v>
      </c>
      <c r="AE1189" s="55">
        <f>SUM(AE1190:AE1195,AE1196:AE1197)</f>
        <v>0</v>
      </c>
      <c r="AF1189" s="56">
        <f>SUM(AF1190:AF1195,AF1196:AF1197)</f>
        <v>90000</v>
      </c>
      <c r="AG1189" s="70">
        <f>SUM(AG1190:AG1197)</f>
        <v>275000</v>
      </c>
      <c r="AH1189" s="17" t="e">
        <f t="shared" si="95"/>
        <v>#REF!</v>
      </c>
    </row>
    <row r="1190" spans="8:34" hidden="1">
      <c r="H1190" s="2945"/>
      <c r="I1190" s="2945"/>
      <c r="J1190" s="2945"/>
      <c r="K1190" s="2945"/>
      <c r="L1190" s="2946"/>
      <c r="M1190" s="2946"/>
      <c r="N1190" s="2946"/>
      <c r="O1190" s="2946"/>
      <c r="P1190" s="2947"/>
      <c r="Q1190" s="1755"/>
      <c r="R1190" s="2225"/>
      <c r="S1190" s="1755"/>
      <c r="T1190" s="1150"/>
      <c r="U1190" s="971"/>
      <c r="V1190" s="971"/>
      <c r="W1190" s="971"/>
      <c r="X1190" s="53" t="e">
        <f>SUM(#REF!)</f>
        <v>#REF!</v>
      </c>
      <c r="Y1190" s="679"/>
      <c r="Z1190" s="679"/>
      <c r="AA1190" s="679"/>
      <c r="AB1190" s="679"/>
      <c r="AC1190" s="679"/>
      <c r="AD1190" s="116">
        <v>80000</v>
      </c>
      <c r="AE1190" s="114"/>
      <c r="AF1190" s="115">
        <v>25000</v>
      </c>
      <c r="AG1190" s="53">
        <f t="shared" ref="AG1190:AG1197" si="96">SUM(AD1190:AF1190)</f>
        <v>105000</v>
      </c>
      <c r="AH1190" s="17" t="e">
        <f t="shared" si="95"/>
        <v>#REF!</v>
      </c>
    </row>
    <row r="1191" spans="8:34" hidden="1">
      <c r="H1191" s="2924"/>
      <c r="I1191" s="2924"/>
      <c r="J1191" s="2924"/>
      <c r="K1191" s="2924"/>
      <c r="L1191" s="2925"/>
      <c r="M1191" s="2925"/>
      <c r="N1191" s="2925"/>
      <c r="O1191" s="2925"/>
      <c r="P1191" s="2926"/>
      <c r="Q1191" s="1748"/>
      <c r="R1191" s="2221"/>
      <c r="S1191" s="1748"/>
      <c r="T1191" s="679"/>
      <c r="U1191" s="53"/>
      <c r="V1191" s="53"/>
      <c r="W1191" s="53"/>
      <c r="X1191" s="53" t="e">
        <f>SUM(#REF!)</f>
        <v>#REF!</v>
      </c>
      <c r="Y1191" s="679"/>
      <c r="Z1191" s="679"/>
      <c r="AA1191" s="679"/>
      <c r="AB1191" s="679"/>
      <c r="AC1191" s="679"/>
      <c r="AD1191" s="116">
        <v>50000</v>
      </c>
      <c r="AE1191" s="71"/>
      <c r="AF1191" s="92"/>
      <c r="AG1191" s="53">
        <f t="shared" si="96"/>
        <v>50000</v>
      </c>
      <c r="AH1191" s="17" t="e">
        <f t="shared" si="95"/>
        <v>#REF!</v>
      </c>
    </row>
    <row r="1192" spans="8:34" hidden="1">
      <c r="H1192" s="2924"/>
      <c r="I1192" s="2924"/>
      <c r="J1192" s="2924"/>
      <c r="K1192" s="2924"/>
      <c r="L1192" s="2925"/>
      <c r="M1192" s="2925"/>
      <c r="N1192" s="2925"/>
      <c r="O1192" s="2925"/>
      <c r="P1192" s="2926"/>
      <c r="Q1192" s="1748"/>
      <c r="R1192" s="2221"/>
      <c r="S1192" s="1748"/>
      <c r="T1192" s="679"/>
      <c r="U1192" s="53"/>
      <c r="V1192" s="53"/>
      <c r="W1192" s="53"/>
      <c r="X1192" s="53" t="e">
        <f>SUM(#REF!)</f>
        <v>#REF!</v>
      </c>
      <c r="Y1192" s="679"/>
      <c r="Z1192" s="679"/>
      <c r="AA1192" s="679"/>
      <c r="AB1192" s="679"/>
      <c r="AC1192" s="679"/>
      <c r="AD1192" s="116">
        <v>10000</v>
      </c>
      <c r="AE1192" s="71"/>
      <c r="AF1192" s="92"/>
      <c r="AG1192" s="53">
        <f t="shared" si="96"/>
        <v>10000</v>
      </c>
      <c r="AH1192" s="17" t="e">
        <f t="shared" si="95"/>
        <v>#REF!</v>
      </c>
    </row>
    <row r="1193" spans="8:34" hidden="1">
      <c r="H1193" s="2924"/>
      <c r="I1193" s="2924"/>
      <c r="J1193" s="2924"/>
      <c r="K1193" s="2924"/>
      <c r="L1193" s="2925"/>
      <c r="M1193" s="2925"/>
      <c r="N1193" s="2925"/>
      <c r="O1193" s="2925"/>
      <c r="P1193" s="2926"/>
      <c r="Q1193" s="1748"/>
      <c r="R1193" s="2221"/>
      <c r="S1193" s="1748"/>
      <c r="T1193" s="679"/>
      <c r="U1193" s="53"/>
      <c r="V1193" s="53"/>
      <c r="W1193" s="53"/>
      <c r="X1193" s="53" t="e">
        <f>SUM(#REF!)</f>
        <v>#REF!</v>
      </c>
      <c r="Y1193" s="679"/>
      <c r="Z1193" s="679"/>
      <c r="AA1193" s="679"/>
      <c r="AB1193" s="679"/>
      <c r="AC1193" s="679"/>
      <c r="AD1193" s="117">
        <v>25000</v>
      </c>
      <c r="AE1193" s="71"/>
      <c r="AF1193" s="92">
        <v>25000</v>
      </c>
      <c r="AG1193" s="53">
        <f t="shared" si="96"/>
        <v>50000</v>
      </c>
      <c r="AH1193" s="17" t="e">
        <f t="shared" si="95"/>
        <v>#REF!</v>
      </c>
    </row>
    <row r="1194" spans="8:34" hidden="1">
      <c r="H1194" s="2924"/>
      <c r="I1194" s="2924"/>
      <c r="J1194" s="2924"/>
      <c r="K1194" s="2924"/>
      <c r="L1194" s="2925"/>
      <c r="M1194" s="2925"/>
      <c r="N1194" s="2925"/>
      <c r="O1194" s="2925"/>
      <c r="P1194" s="2926"/>
      <c r="Q1194" s="1748"/>
      <c r="R1194" s="2221"/>
      <c r="S1194" s="1748"/>
      <c r="T1194" s="679"/>
      <c r="U1194" s="53"/>
      <c r="V1194" s="53"/>
      <c r="W1194" s="53"/>
      <c r="X1194" s="53" t="e">
        <f>SUM(#REF!)</f>
        <v>#REF!</v>
      </c>
      <c r="Y1194" s="679"/>
      <c r="Z1194" s="679"/>
      <c r="AA1194" s="679"/>
      <c r="AB1194" s="679"/>
      <c r="AC1194" s="679"/>
      <c r="AD1194" s="116">
        <v>0</v>
      </c>
      <c r="AE1194" s="71"/>
      <c r="AF1194" s="92">
        <v>40000</v>
      </c>
      <c r="AG1194" s="53">
        <f t="shared" si="96"/>
        <v>40000</v>
      </c>
      <c r="AH1194" s="17"/>
    </row>
    <row r="1195" spans="8:34" hidden="1">
      <c r="H1195" s="2924"/>
      <c r="I1195" s="2924"/>
      <c r="J1195" s="2924"/>
      <c r="K1195" s="2924"/>
      <c r="L1195" s="2925"/>
      <c r="M1195" s="2925"/>
      <c r="N1195" s="2925"/>
      <c r="O1195" s="2925"/>
      <c r="P1195" s="2926"/>
      <c r="Q1195" s="1748"/>
      <c r="R1195" s="2221"/>
      <c r="S1195" s="1748"/>
      <c r="T1195" s="679"/>
      <c r="U1195" s="53"/>
      <c r="V1195" s="53"/>
      <c r="W1195" s="53"/>
      <c r="X1195" s="119" t="e">
        <f>SUM(#REF!)</f>
        <v>#REF!</v>
      </c>
      <c r="Y1195" s="679"/>
      <c r="Z1195" s="679"/>
      <c r="AA1195" s="679"/>
      <c r="AB1195" s="679"/>
      <c r="AC1195" s="679"/>
      <c r="AD1195" s="120">
        <v>20000</v>
      </c>
      <c r="AE1195" s="121"/>
      <c r="AF1195" s="118"/>
      <c r="AG1195" s="119">
        <f t="shared" si="96"/>
        <v>20000</v>
      </c>
      <c r="AH1195" s="122" t="e">
        <f>AG1195/X1195*100</f>
        <v>#REF!</v>
      </c>
    </row>
    <row r="1196" spans="8:34" hidden="1">
      <c r="H1196" s="2924"/>
      <c r="I1196" s="2924"/>
      <c r="J1196" s="2924"/>
      <c r="K1196" s="2924"/>
      <c r="L1196" s="2925"/>
      <c r="M1196" s="2925"/>
      <c r="N1196" s="2925"/>
      <c r="O1196" s="2925"/>
      <c r="P1196" s="2926"/>
      <c r="Q1196" s="1748"/>
      <c r="R1196" s="2221"/>
      <c r="S1196" s="1748"/>
      <c r="T1196" s="679"/>
      <c r="U1196" s="53"/>
      <c r="V1196" s="53"/>
      <c r="W1196" s="53"/>
      <c r="X1196" s="119" t="e">
        <f>SUM(#REF!)</f>
        <v>#REF!</v>
      </c>
      <c r="Y1196" s="679"/>
      <c r="Z1196" s="679"/>
      <c r="AA1196" s="679"/>
      <c r="AB1196" s="679"/>
      <c r="AC1196" s="679"/>
      <c r="AD1196" s="120"/>
      <c r="AE1196" s="121"/>
      <c r="AF1196" s="118"/>
      <c r="AG1196" s="119">
        <f t="shared" si="96"/>
        <v>0</v>
      </c>
      <c r="AH1196" s="122"/>
    </row>
    <row r="1197" spans="8:34" hidden="1">
      <c r="H1197" s="2924"/>
      <c r="I1197" s="2924"/>
      <c r="J1197" s="2924"/>
      <c r="K1197" s="2924"/>
      <c r="L1197" s="2925"/>
      <c r="M1197" s="2925"/>
      <c r="N1197" s="2925"/>
      <c r="O1197" s="2925"/>
      <c r="P1197" s="2926"/>
      <c r="Q1197" s="1748"/>
      <c r="R1197" s="2221"/>
      <c r="S1197" s="1748"/>
      <c r="T1197" s="679"/>
      <c r="U1197" s="53"/>
      <c r="V1197" s="53"/>
      <c r="W1197" s="53"/>
      <c r="X1197" s="119" t="e">
        <f>SUM(#REF!)</f>
        <v>#REF!</v>
      </c>
      <c r="Y1197" s="679"/>
      <c r="Z1197" s="679"/>
      <c r="AA1197" s="679"/>
      <c r="AB1197" s="679"/>
      <c r="AC1197" s="679"/>
      <c r="AD1197" s="120"/>
      <c r="AE1197" s="121"/>
      <c r="AF1197" s="118"/>
      <c r="AG1197" s="119">
        <f t="shared" si="96"/>
        <v>0</v>
      </c>
      <c r="AH1197" s="122"/>
    </row>
    <row r="1198" spans="8:34" hidden="1">
      <c r="H1198" s="2909"/>
      <c r="I1198" s="2909"/>
      <c r="J1198" s="2909"/>
      <c r="K1198" s="2909"/>
      <c r="L1198" s="2910"/>
      <c r="M1198" s="2910"/>
      <c r="N1198" s="2910"/>
      <c r="O1198" s="2910"/>
      <c r="P1198" s="2911"/>
      <c r="Q1198" s="1260"/>
      <c r="R1198" s="2216"/>
      <c r="S1198" s="1260"/>
      <c r="T1198" s="446"/>
      <c r="U1198" s="70"/>
      <c r="V1198" s="70"/>
      <c r="W1198" s="70"/>
      <c r="X1198" s="125"/>
      <c r="Y1198" s="446"/>
      <c r="Z1198" s="446"/>
      <c r="AA1198" s="446"/>
      <c r="AB1198" s="446"/>
      <c r="AC1198" s="446"/>
      <c r="AD1198" s="126"/>
      <c r="AE1198" s="123"/>
      <c r="AF1198" s="124"/>
      <c r="AG1198" s="125"/>
      <c r="AH1198" s="122" t="e">
        <f>AG1198/X1198*100</f>
        <v>#DIV/0!</v>
      </c>
    </row>
    <row r="1199" spans="8:34" hidden="1">
      <c r="H1199" s="2909"/>
      <c r="I1199" s="2909"/>
      <c r="J1199" s="2909"/>
      <c r="K1199" s="2909"/>
      <c r="L1199" s="2910"/>
      <c r="M1199" s="2910"/>
      <c r="N1199" s="2910"/>
      <c r="O1199" s="2910"/>
      <c r="P1199" s="2911"/>
      <c r="Q1199" s="1260"/>
      <c r="R1199" s="2216"/>
      <c r="S1199" s="1260"/>
      <c r="T1199" s="446"/>
      <c r="U1199" s="70"/>
      <c r="V1199" s="70"/>
      <c r="W1199" s="70"/>
      <c r="X1199" s="125" t="e">
        <f>SUM(#REF!)</f>
        <v>#REF!</v>
      </c>
      <c r="Y1199" s="446"/>
      <c r="Z1199" s="446"/>
      <c r="AA1199" s="446"/>
      <c r="AB1199" s="446"/>
      <c r="AC1199" s="446"/>
      <c r="AD1199" s="127">
        <v>35000</v>
      </c>
      <c r="AE1199" s="123"/>
      <c r="AF1199" s="124"/>
      <c r="AG1199" s="125">
        <f t="shared" ref="AG1199:AG1207" si="97">SUM(AD1199:AF1199)</f>
        <v>35000</v>
      </c>
      <c r="AH1199" s="122" t="e">
        <f>AG1199/X1199*100</f>
        <v>#REF!</v>
      </c>
    </row>
    <row r="1200" spans="8:34" hidden="1">
      <c r="H1200" s="2909"/>
      <c r="I1200" s="2909"/>
      <c r="J1200" s="2909"/>
      <c r="K1200" s="2909"/>
      <c r="L1200" s="2910"/>
      <c r="M1200" s="2910"/>
      <c r="N1200" s="2910"/>
      <c r="O1200" s="2910"/>
      <c r="P1200" s="2911"/>
      <c r="Q1200" s="1260"/>
      <c r="R1200" s="2216"/>
      <c r="S1200" s="1260"/>
      <c r="T1200" s="446"/>
      <c r="U1200" s="70"/>
      <c r="V1200" s="70"/>
      <c r="W1200" s="70"/>
      <c r="X1200" s="125" t="e">
        <f>SUM(#REF!)</f>
        <v>#REF!</v>
      </c>
      <c r="Y1200" s="446"/>
      <c r="Z1200" s="446"/>
      <c r="AA1200" s="446"/>
      <c r="AB1200" s="446"/>
      <c r="AC1200" s="446"/>
      <c r="AD1200" s="127"/>
      <c r="AE1200" s="123"/>
      <c r="AF1200" s="124"/>
      <c r="AG1200" s="125">
        <f t="shared" si="97"/>
        <v>0</v>
      </c>
      <c r="AH1200" s="122" t="e">
        <f>AG1200/X1200*100</f>
        <v>#REF!</v>
      </c>
    </row>
    <row r="1201" spans="8:34" hidden="1">
      <c r="H1201" s="2909"/>
      <c r="I1201" s="2909"/>
      <c r="J1201" s="2909"/>
      <c r="K1201" s="2909"/>
      <c r="L1201" s="2910"/>
      <c r="M1201" s="2910"/>
      <c r="N1201" s="2910"/>
      <c r="O1201" s="2910"/>
      <c r="P1201" s="2911"/>
      <c r="Q1201" s="1260"/>
      <c r="R1201" s="2216"/>
      <c r="S1201" s="1260"/>
      <c r="T1201" s="446"/>
      <c r="U1201" s="70"/>
      <c r="V1201" s="70"/>
      <c r="W1201" s="70"/>
      <c r="X1201" s="125" t="e">
        <f>SUM(#REF!)</f>
        <v>#REF!</v>
      </c>
      <c r="Y1201" s="446"/>
      <c r="Z1201" s="446"/>
      <c r="AA1201" s="446"/>
      <c r="AB1201" s="446"/>
      <c r="AC1201" s="446"/>
      <c r="AD1201" s="127"/>
      <c r="AE1201" s="123"/>
      <c r="AF1201" s="124"/>
      <c r="AG1201" s="125">
        <f t="shared" si="97"/>
        <v>0</v>
      </c>
      <c r="AH1201" s="122" t="e">
        <f>AG1201/X1201*100</f>
        <v>#REF!</v>
      </c>
    </row>
    <row r="1202" spans="8:34" hidden="1">
      <c r="H1202" s="2909"/>
      <c r="I1202" s="2909"/>
      <c r="J1202" s="2909"/>
      <c r="K1202" s="2909"/>
      <c r="L1202" s="2910"/>
      <c r="M1202" s="2910"/>
      <c r="N1202" s="2910"/>
      <c r="O1202" s="2910"/>
      <c r="P1202" s="2911"/>
      <c r="Q1202" s="1260"/>
      <c r="R1202" s="2216"/>
      <c r="S1202" s="1260"/>
      <c r="T1202" s="446"/>
      <c r="U1202" s="70"/>
      <c r="V1202" s="70"/>
      <c r="W1202" s="70"/>
      <c r="X1202" s="125" t="e">
        <f>SUM(#REF!)</f>
        <v>#REF!</v>
      </c>
      <c r="Y1202" s="446"/>
      <c r="Z1202" s="446"/>
      <c r="AA1202" s="446"/>
      <c r="AB1202" s="446"/>
      <c r="AC1202" s="446"/>
      <c r="AD1202" s="127"/>
      <c r="AE1202" s="123"/>
      <c r="AF1202" s="124"/>
      <c r="AG1202" s="125">
        <f t="shared" si="97"/>
        <v>0</v>
      </c>
      <c r="AH1202" s="122" t="e">
        <f>AG1202/X1202*100</f>
        <v>#REF!</v>
      </c>
    </row>
    <row r="1203" spans="8:34" hidden="1">
      <c r="H1203" s="2909"/>
      <c r="I1203" s="2909"/>
      <c r="J1203" s="2909"/>
      <c r="K1203" s="2909"/>
      <c r="L1203" s="2910"/>
      <c r="M1203" s="2910"/>
      <c r="N1203" s="2910"/>
      <c r="O1203" s="2910"/>
      <c r="P1203" s="2911"/>
      <c r="Q1203" s="1260"/>
      <c r="R1203" s="2216"/>
      <c r="S1203" s="1260"/>
      <c r="T1203" s="446"/>
      <c r="U1203" s="70"/>
      <c r="V1203" s="70"/>
      <c r="W1203" s="70"/>
      <c r="X1203" s="125"/>
      <c r="Y1203" s="446"/>
      <c r="Z1203" s="446"/>
      <c r="AA1203" s="446"/>
      <c r="AB1203" s="446"/>
      <c r="AC1203" s="446"/>
      <c r="AD1203" s="127"/>
      <c r="AE1203" s="123"/>
      <c r="AF1203" s="124"/>
      <c r="AG1203" s="125"/>
      <c r="AH1203" s="122"/>
    </row>
    <row r="1204" spans="8:34" hidden="1">
      <c r="H1204" s="2909"/>
      <c r="I1204" s="2909"/>
      <c r="J1204" s="2909"/>
      <c r="K1204" s="2909"/>
      <c r="L1204" s="2910"/>
      <c r="M1204" s="2910"/>
      <c r="N1204" s="2910"/>
      <c r="O1204" s="2910"/>
      <c r="P1204" s="2911"/>
      <c r="Q1204" s="1260"/>
      <c r="R1204" s="2216"/>
      <c r="S1204" s="1260"/>
      <c r="T1204" s="446"/>
      <c r="U1204" s="70"/>
      <c r="V1204" s="70"/>
      <c r="W1204" s="70"/>
      <c r="X1204" s="125" t="e">
        <f>SUM(#REF!)</f>
        <v>#REF!</v>
      </c>
      <c r="Y1204" s="446"/>
      <c r="Z1204" s="446"/>
      <c r="AA1204" s="446"/>
      <c r="AB1204" s="446"/>
      <c r="AC1204" s="446"/>
      <c r="AD1204" s="126"/>
      <c r="AE1204" s="128"/>
      <c r="AF1204" s="129"/>
      <c r="AG1204" s="125">
        <f t="shared" si="97"/>
        <v>0</v>
      </c>
      <c r="AH1204" s="122" t="e">
        <f t="shared" ref="AH1204:AH1235" si="98">AG1204/X1204*100</f>
        <v>#REF!</v>
      </c>
    </row>
    <row r="1205" spans="8:34" hidden="1">
      <c r="H1205" s="2948"/>
      <c r="I1205" s="2948"/>
      <c r="J1205" s="2948"/>
      <c r="K1205" s="2948"/>
      <c r="L1205" s="2949"/>
      <c r="M1205" s="2949"/>
      <c r="N1205" s="2949"/>
      <c r="O1205" s="2949"/>
      <c r="P1205" s="2950"/>
      <c r="Q1205" s="1756"/>
      <c r="R1205" s="2226"/>
      <c r="S1205" s="1756"/>
      <c r="T1205" s="1151"/>
      <c r="U1205" s="972"/>
      <c r="V1205" s="972"/>
      <c r="W1205" s="972"/>
      <c r="X1205" s="125" t="e">
        <f>SUM(#REF!)</f>
        <v>#REF!</v>
      </c>
      <c r="Y1205" s="446"/>
      <c r="Z1205" s="446"/>
      <c r="AA1205" s="446"/>
      <c r="AB1205" s="446"/>
      <c r="AC1205" s="446"/>
      <c r="AD1205" s="126"/>
      <c r="AE1205" s="128"/>
      <c r="AF1205" s="129">
        <v>215000</v>
      </c>
      <c r="AG1205" s="125">
        <f t="shared" si="97"/>
        <v>215000</v>
      </c>
      <c r="AH1205" s="122" t="e">
        <f t="shared" si="98"/>
        <v>#REF!</v>
      </c>
    </row>
    <row r="1206" spans="8:34" hidden="1">
      <c r="H1206" s="2951"/>
      <c r="I1206" s="2951"/>
      <c r="J1206" s="2951"/>
      <c r="K1206" s="2951"/>
      <c r="L1206" s="2952"/>
      <c r="M1206" s="2952"/>
      <c r="N1206" s="2952"/>
      <c r="O1206" s="2952"/>
      <c r="P1206" s="2953"/>
      <c r="Q1206" s="1757"/>
      <c r="R1206" s="2227"/>
      <c r="S1206" s="1757"/>
      <c r="T1206" s="1152"/>
      <c r="U1206" s="973"/>
      <c r="V1206" s="973"/>
      <c r="W1206" s="973"/>
      <c r="X1206" s="125" t="e">
        <f>SUM(#REF!)</f>
        <v>#REF!</v>
      </c>
      <c r="Y1206" s="446"/>
      <c r="Z1206" s="446"/>
      <c r="AA1206" s="446"/>
      <c r="AB1206" s="446"/>
      <c r="AC1206" s="446"/>
      <c r="AD1206" s="126"/>
      <c r="AE1206" s="128"/>
      <c r="AF1206" s="129"/>
      <c r="AG1206" s="125">
        <f t="shared" si="97"/>
        <v>0</v>
      </c>
      <c r="AH1206" s="122" t="e">
        <f t="shared" si="98"/>
        <v>#REF!</v>
      </c>
    </row>
    <row r="1207" spans="8:34" hidden="1">
      <c r="H1207" s="2948"/>
      <c r="I1207" s="2948"/>
      <c r="J1207" s="2948"/>
      <c r="K1207" s="2948"/>
      <c r="L1207" s="2949"/>
      <c r="M1207" s="2949"/>
      <c r="N1207" s="2949"/>
      <c r="O1207" s="2949"/>
      <c r="P1207" s="2950"/>
      <c r="Q1207" s="1756"/>
      <c r="R1207" s="2226"/>
      <c r="S1207" s="1756"/>
      <c r="T1207" s="1151"/>
      <c r="U1207" s="972"/>
      <c r="V1207" s="972"/>
      <c r="W1207" s="972"/>
      <c r="X1207" s="125" t="e">
        <f>SUM(#REF!)</f>
        <v>#REF!</v>
      </c>
      <c r="Y1207" s="446"/>
      <c r="Z1207" s="446"/>
      <c r="AA1207" s="446"/>
      <c r="AB1207" s="446"/>
      <c r="AC1207" s="446"/>
      <c r="AD1207" s="131"/>
      <c r="AE1207" s="128"/>
      <c r="AF1207" s="130"/>
      <c r="AG1207" s="125">
        <f t="shared" si="97"/>
        <v>0</v>
      </c>
      <c r="AH1207" s="122" t="e">
        <f t="shared" si="98"/>
        <v>#REF!</v>
      </c>
    </row>
    <row r="1208" spans="8:34" hidden="1">
      <c r="H1208" s="2909"/>
      <c r="I1208" s="2909"/>
      <c r="J1208" s="2909"/>
      <c r="K1208" s="2909"/>
      <c r="L1208" s="2910"/>
      <c r="M1208" s="2910"/>
      <c r="N1208" s="2910"/>
      <c r="O1208" s="2910"/>
      <c r="P1208" s="2911"/>
      <c r="Q1208" s="1260"/>
      <c r="R1208" s="2216"/>
      <c r="S1208" s="1260"/>
      <c r="T1208" s="446"/>
      <c r="U1208" s="70"/>
      <c r="V1208" s="70"/>
      <c r="W1208" s="70"/>
      <c r="X1208" s="125" t="e">
        <f t="shared" ref="X1208:AG1208" si="99">SUM(X1209:X1220)</f>
        <v>#REF!</v>
      </c>
      <c r="Y1208" s="446"/>
      <c r="Z1208" s="446"/>
      <c r="AA1208" s="446"/>
      <c r="AB1208" s="446"/>
      <c r="AC1208" s="446"/>
      <c r="AD1208" s="127">
        <f>SUM(AD1209:AD1220)</f>
        <v>2771970</v>
      </c>
      <c r="AE1208" s="123">
        <f t="shared" si="99"/>
        <v>0</v>
      </c>
      <c r="AF1208" s="124">
        <f t="shared" si="99"/>
        <v>0</v>
      </c>
      <c r="AG1208" s="125">
        <f t="shared" si="99"/>
        <v>2771970</v>
      </c>
      <c r="AH1208" s="122" t="e">
        <f t="shared" si="98"/>
        <v>#REF!</v>
      </c>
    </row>
    <row r="1209" spans="8:34" hidden="1">
      <c r="H1209" s="2924"/>
      <c r="I1209" s="2924"/>
      <c r="J1209" s="2924"/>
      <c r="K1209" s="2924"/>
      <c r="L1209" s="2925"/>
      <c r="M1209" s="2925"/>
      <c r="N1209" s="2925"/>
      <c r="O1209" s="2925"/>
      <c r="P1209" s="2926"/>
      <c r="Q1209" s="1748"/>
      <c r="R1209" s="2221"/>
      <c r="S1209" s="1748"/>
      <c r="T1209" s="679"/>
      <c r="U1209" s="53"/>
      <c r="V1209" s="53"/>
      <c r="W1209" s="53"/>
      <c r="X1209" s="119" t="e">
        <f>SUM(#REF!)</f>
        <v>#REF!</v>
      </c>
      <c r="Y1209" s="679"/>
      <c r="Z1209" s="679"/>
      <c r="AA1209" s="679"/>
      <c r="AB1209" s="679"/>
      <c r="AC1209" s="679"/>
      <c r="AD1209" s="132">
        <v>188950</v>
      </c>
      <c r="AE1209" s="121"/>
      <c r="AF1209" s="118"/>
      <c r="AG1209" s="119">
        <f t="shared" ref="AG1209:AG1224" si="100">SUM(AD1209:AF1209)</f>
        <v>188950</v>
      </c>
      <c r="AH1209" s="122" t="e">
        <f t="shared" si="98"/>
        <v>#REF!</v>
      </c>
    </row>
    <row r="1210" spans="8:34" hidden="1">
      <c r="H1210" s="2924"/>
      <c r="I1210" s="2924"/>
      <c r="J1210" s="2924"/>
      <c r="K1210" s="2924"/>
      <c r="L1210" s="2925"/>
      <c r="M1210" s="2925"/>
      <c r="N1210" s="2925"/>
      <c r="O1210" s="2925"/>
      <c r="P1210" s="2926"/>
      <c r="Q1210" s="1748"/>
      <c r="R1210" s="2221"/>
      <c r="S1210" s="1748"/>
      <c r="T1210" s="679"/>
      <c r="U1210" s="53"/>
      <c r="V1210" s="53"/>
      <c r="W1210" s="53"/>
      <c r="X1210" s="119" t="e">
        <f>SUM(#REF!)</f>
        <v>#REF!</v>
      </c>
      <c r="Y1210" s="679"/>
      <c r="Z1210" s="679"/>
      <c r="AA1210" s="679"/>
      <c r="AB1210" s="679"/>
      <c r="AC1210" s="679"/>
      <c r="AD1210" s="132">
        <v>175600</v>
      </c>
      <c r="AE1210" s="121"/>
      <c r="AF1210" s="118"/>
      <c r="AG1210" s="119">
        <f t="shared" si="100"/>
        <v>175600</v>
      </c>
      <c r="AH1210" s="122" t="e">
        <f t="shared" si="98"/>
        <v>#REF!</v>
      </c>
    </row>
    <row r="1211" spans="8:34" hidden="1">
      <c r="H1211" s="2924"/>
      <c r="I1211" s="2924"/>
      <c r="J1211" s="2924"/>
      <c r="K1211" s="2924"/>
      <c r="L1211" s="2925"/>
      <c r="M1211" s="2925"/>
      <c r="N1211" s="2925"/>
      <c r="O1211" s="2925"/>
      <c r="P1211" s="2926"/>
      <c r="Q1211" s="1748"/>
      <c r="R1211" s="2221"/>
      <c r="S1211" s="1748"/>
      <c r="T1211" s="679"/>
      <c r="U1211" s="53"/>
      <c r="V1211" s="53"/>
      <c r="W1211" s="53"/>
      <c r="X1211" s="119" t="e">
        <f>SUM(#REF!)</f>
        <v>#REF!</v>
      </c>
      <c r="Y1211" s="679"/>
      <c r="Z1211" s="679"/>
      <c r="AA1211" s="679"/>
      <c r="AB1211" s="679"/>
      <c r="AC1211" s="679"/>
      <c r="AD1211" s="132">
        <v>385220</v>
      </c>
      <c r="AE1211" s="121"/>
      <c r="AF1211" s="118"/>
      <c r="AG1211" s="119">
        <f t="shared" si="100"/>
        <v>385220</v>
      </c>
      <c r="AH1211" s="122" t="e">
        <f t="shared" si="98"/>
        <v>#REF!</v>
      </c>
    </row>
    <row r="1212" spans="8:34" hidden="1">
      <c r="H1212" s="2924"/>
      <c r="I1212" s="2924"/>
      <c r="J1212" s="2924"/>
      <c r="K1212" s="2924"/>
      <c r="L1212" s="2925"/>
      <c r="M1212" s="2925"/>
      <c r="N1212" s="2925"/>
      <c r="O1212" s="2925"/>
      <c r="P1212" s="2926"/>
      <c r="Q1212" s="1748"/>
      <c r="R1212" s="2221"/>
      <c r="S1212" s="1748"/>
      <c r="T1212" s="679"/>
      <c r="U1212" s="53"/>
      <c r="V1212" s="53"/>
      <c r="W1212" s="53"/>
      <c r="X1212" s="119" t="e">
        <f>SUM(#REF!)</f>
        <v>#REF!</v>
      </c>
      <c r="Y1212" s="679"/>
      <c r="Z1212" s="679"/>
      <c r="AA1212" s="679"/>
      <c r="AB1212" s="679"/>
      <c r="AC1212" s="679"/>
      <c r="AD1212" s="132">
        <v>43620</v>
      </c>
      <c r="AE1212" s="121"/>
      <c r="AF1212" s="118"/>
      <c r="AG1212" s="119">
        <f t="shared" si="100"/>
        <v>43620</v>
      </c>
      <c r="AH1212" s="122" t="e">
        <f t="shared" si="98"/>
        <v>#REF!</v>
      </c>
    </row>
    <row r="1213" spans="8:34" hidden="1">
      <c r="H1213" s="2924"/>
      <c r="I1213" s="2924"/>
      <c r="J1213" s="2924"/>
      <c r="K1213" s="2924"/>
      <c r="L1213" s="2925"/>
      <c r="M1213" s="2925"/>
      <c r="N1213" s="2925"/>
      <c r="O1213" s="2925"/>
      <c r="P1213" s="2926"/>
      <c r="Q1213" s="1748"/>
      <c r="R1213" s="2221"/>
      <c r="S1213" s="1748"/>
      <c r="T1213" s="679"/>
      <c r="U1213" s="53"/>
      <c r="V1213" s="53"/>
      <c r="W1213" s="53"/>
      <c r="X1213" s="119" t="e">
        <f>SUM(#REF!)</f>
        <v>#REF!</v>
      </c>
      <c r="Y1213" s="679"/>
      <c r="Z1213" s="679"/>
      <c r="AA1213" s="679"/>
      <c r="AB1213" s="679"/>
      <c r="AC1213" s="679"/>
      <c r="AD1213" s="132">
        <v>326880</v>
      </c>
      <c r="AE1213" s="121"/>
      <c r="AF1213" s="118"/>
      <c r="AG1213" s="119">
        <f t="shared" si="100"/>
        <v>326880</v>
      </c>
      <c r="AH1213" s="122" t="e">
        <f t="shared" si="98"/>
        <v>#REF!</v>
      </c>
    </row>
    <row r="1214" spans="8:34" hidden="1">
      <c r="H1214" s="2924"/>
      <c r="I1214" s="2924"/>
      <c r="J1214" s="2924"/>
      <c r="K1214" s="2924"/>
      <c r="L1214" s="2925"/>
      <c r="M1214" s="2925"/>
      <c r="N1214" s="2925"/>
      <c r="O1214" s="2925"/>
      <c r="P1214" s="2926"/>
      <c r="Q1214" s="1748"/>
      <c r="R1214" s="2221"/>
      <c r="S1214" s="1748"/>
      <c r="T1214" s="679"/>
      <c r="U1214" s="53"/>
      <c r="V1214" s="53"/>
      <c r="W1214" s="53"/>
      <c r="X1214" s="119" t="e">
        <f>SUM(#REF!)</f>
        <v>#REF!</v>
      </c>
      <c r="Y1214" s="679"/>
      <c r="Z1214" s="679"/>
      <c r="AA1214" s="679"/>
      <c r="AB1214" s="679"/>
      <c r="AC1214" s="679"/>
      <c r="AD1214" s="132">
        <v>43370</v>
      </c>
      <c r="AE1214" s="121"/>
      <c r="AF1214" s="118"/>
      <c r="AG1214" s="119">
        <f t="shared" si="100"/>
        <v>43370</v>
      </c>
      <c r="AH1214" s="122" t="e">
        <f t="shared" si="98"/>
        <v>#REF!</v>
      </c>
    </row>
    <row r="1215" spans="8:34" hidden="1">
      <c r="H1215" s="2924"/>
      <c r="I1215" s="2924"/>
      <c r="J1215" s="2924"/>
      <c r="K1215" s="2924"/>
      <c r="L1215" s="2925"/>
      <c r="M1215" s="2925"/>
      <c r="N1215" s="2925"/>
      <c r="O1215" s="2925"/>
      <c r="P1215" s="2926"/>
      <c r="Q1215" s="1748"/>
      <c r="R1215" s="2221"/>
      <c r="S1215" s="1748"/>
      <c r="T1215" s="679"/>
      <c r="U1215" s="53"/>
      <c r="V1215" s="53"/>
      <c r="W1215" s="53"/>
      <c r="X1215" s="119" t="e">
        <f>SUM(#REF!)</f>
        <v>#REF!</v>
      </c>
      <c r="Y1215" s="679"/>
      <c r="Z1215" s="679"/>
      <c r="AA1215" s="679"/>
      <c r="AB1215" s="679"/>
      <c r="AC1215" s="679"/>
      <c r="AD1215" s="132">
        <v>253950</v>
      </c>
      <c r="AE1215" s="121"/>
      <c r="AF1215" s="118"/>
      <c r="AG1215" s="119">
        <f t="shared" si="100"/>
        <v>253950</v>
      </c>
      <c r="AH1215" s="122" t="e">
        <f t="shared" si="98"/>
        <v>#REF!</v>
      </c>
    </row>
    <row r="1216" spans="8:34" hidden="1">
      <c r="H1216" s="2924"/>
      <c r="I1216" s="2924"/>
      <c r="J1216" s="2924"/>
      <c r="K1216" s="2924"/>
      <c r="L1216" s="2925"/>
      <c r="M1216" s="2925"/>
      <c r="N1216" s="2925"/>
      <c r="O1216" s="2925"/>
      <c r="P1216" s="2926"/>
      <c r="Q1216" s="1748"/>
      <c r="R1216" s="2221"/>
      <c r="S1216" s="1748"/>
      <c r="T1216" s="679"/>
      <c r="U1216" s="53"/>
      <c r="V1216" s="53"/>
      <c r="W1216" s="53"/>
      <c r="X1216" s="119" t="e">
        <f>SUM(#REF!)</f>
        <v>#REF!</v>
      </c>
      <c r="Y1216" s="679"/>
      <c r="Z1216" s="679"/>
      <c r="AA1216" s="679"/>
      <c r="AB1216" s="679"/>
      <c r="AC1216" s="679"/>
      <c r="AD1216" s="132">
        <v>296630</v>
      </c>
      <c r="AE1216" s="121"/>
      <c r="AF1216" s="118"/>
      <c r="AG1216" s="119">
        <f t="shared" si="100"/>
        <v>296630</v>
      </c>
      <c r="AH1216" s="122" t="e">
        <f t="shared" si="98"/>
        <v>#REF!</v>
      </c>
    </row>
    <row r="1217" spans="8:34" hidden="1">
      <c r="H1217" s="2924"/>
      <c r="I1217" s="2924"/>
      <c r="J1217" s="2924"/>
      <c r="K1217" s="2924"/>
      <c r="L1217" s="2925"/>
      <c r="M1217" s="2925"/>
      <c r="N1217" s="2925"/>
      <c r="O1217" s="2925"/>
      <c r="P1217" s="2926"/>
      <c r="Q1217" s="1748"/>
      <c r="R1217" s="2221"/>
      <c r="S1217" s="1748"/>
      <c r="T1217" s="679"/>
      <c r="U1217" s="53"/>
      <c r="V1217" s="53"/>
      <c r="W1217" s="53"/>
      <c r="X1217" s="119" t="e">
        <f>SUM(#REF!)</f>
        <v>#REF!</v>
      </c>
      <c r="Y1217" s="679"/>
      <c r="Z1217" s="679"/>
      <c r="AA1217" s="679"/>
      <c r="AB1217" s="679"/>
      <c r="AC1217" s="679"/>
      <c r="AD1217" s="132">
        <v>296630</v>
      </c>
      <c r="AE1217" s="121"/>
      <c r="AF1217" s="118"/>
      <c r="AG1217" s="119">
        <f t="shared" si="100"/>
        <v>296630</v>
      </c>
      <c r="AH1217" s="122" t="e">
        <f t="shared" si="98"/>
        <v>#REF!</v>
      </c>
    </row>
    <row r="1218" spans="8:34" hidden="1">
      <c r="H1218" s="2924"/>
      <c r="I1218" s="2924"/>
      <c r="J1218" s="2924"/>
      <c r="K1218" s="2924"/>
      <c r="L1218" s="2925"/>
      <c r="M1218" s="2925"/>
      <c r="N1218" s="2925"/>
      <c r="O1218" s="2925"/>
      <c r="P1218" s="2926"/>
      <c r="Q1218" s="1748"/>
      <c r="R1218" s="2221"/>
      <c r="S1218" s="1748"/>
      <c r="T1218" s="679"/>
      <c r="U1218" s="53"/>
      <c r="V1218" s="53"/>
      <c r="W1218" s="53"/>
      <c r="X1218" s="119" t="e">
        <f>SUM(#REF!)</f>
        <v>#REF!</v>
      </c>
      <c r="Y1218" s="679"/>
      <c r="Z1218" s="679"/>
      <c r="AA1218" s="679"/>
      <c r="AB1218" s="679"/>
      <c r="AC1218" s="679"/>
      <c r="AD1218" s="133">
        <v>267760</v>
      </c>
      <c r="AE1218" s="121"/>
      <c r="AF1218" s="118"/>
      <c r="AG1218" s="119">
        <f t="shared" si="100"/>
        <v>267760</v>
      </c>
      <c r="AH1218" s="122" t="e">
        <f t="shared" si="98"/>
        <v>#REF!</v>
      </c>
    </row>
    <row r="1219" spans="8:34" hidden="1">
      <c r="H1219" s="2924"/>
      <c r="I1219" s="2924"/>
      <c r="J1219" s="2924"/>
      <c r="K1219" s="2924"/>
      <c r="L1219" s="2925"/>
      <c r="M1219" s="2925"/>
      <c r="N1219" s="2925"/>
      <c r="O1219" s="2925"/>
      <c r="P1219" s="2926"/>
      <c r="Q1219" s="1748"/>
      <c r="R1219" s="2221"/>
      <c r="S1219" s="1748"/>
      <c r="T1219" s="679"/>
      <c r="U1219" s="53"/>
      <c r="V1219" s="53"/>
      <c r="W1219" s="53"/>
      <c r="X1219" s="119" t="e">
        <f>SUM(#REF!)</f>
        <v>#REF!</v>
      </c>
      <c r="Y1219" s="679"/>
      <c r="Z1219" s="679"/>
      <c r="AA1219" s="679"/>
      <c r="AB1219" s="679"/>
      <c r="AC1219" s="679"/>
      <c r="AD1219" s="132">
        <v>259580</v>
      </c>
      <c r="AE1219" s="121"/>
      <c r="AF1219" s="118"/>
      <c r="AG1219" s="119">
        <f t="shared" si="100"/>
        <v>259580</v>
      </c>
      <c r="AH1219" s="122" t="e">
        <f t="shared" si="98"/>
        <v>#REF!</v>
      </c>
    </row>
    <row r="1220" spans="8:34" hidden="1">
      <c r="H1220" s="2924"/>
      <c r="I1220" s="2924"/>
      <c r="J1220" s="2924"/>
      <c r="K1220" s="2924"/>
      <c r="L1220" s="2925"/>
      <c r="M1220" s="2925"/>
      <c r="N1220" s="2925"/>
      <c r="O1220" s="2925"/>
      <c r="P1220" s="2926"/>
      <c r="Q1220" s="1748"/>
      <c r="R1220" s="2221"/>
      <c r="S1220" s="1748"/>
      <c r="T1220" s="679"/>
      <c r="U1220" s="53"/>
      <c r="V1220" s="53"/>
      <c r="W1220" s="53"/>
      <c r="X1220" s="119" t="e">
        <f>SUM(#REF!)</f>
        <v>#REF!</v>
      </c>
      <c r="Y1220" s="679"/>
      <c r="Z1220" s="679"/>
      <c r="AA1220" s="679"/>
      <c r="AB1220" s="679"/>
      <c r="AC1220" s="679"/>
      <c r="AD1220" s="132">
        <v>233780</v>
      </c>
      <c r="AE1220" s="121"/>
      <c r="AF1220" s="118"/>
      <c r="AG1220" s="119">
        <f t="shared" si="100"/>
        <v>233780</v>
      </c>
      <c r="AH1220" s="122" t="e">
        <f t="shared" si="98"/>
        <v>#REF!</v>
      </c>
    </row>
    <row r="1221" spans="8:34" hidden="1">
      <c r="H1221" s="2909"/>
      <c r="I1221" s="2909"/>
      <c r="J1221" s="2909"/>
      <c r="K1221" s="2909"/>
      <c r="L1221" s="2910"/>
      <c r="M1221" s="2910"/>
      <c r="N1221" s="2910"/>
      <c r="O1221" s="2910"/>
      <c r="P1221" s="2911"/>
      <c r="Q1221" s="1260"/>
      <c r="R1221" s="2216"/>
      <c r="S1221" s="1260"/>
      <c r="T1221" s="446"/>
      <c r="U1221" s="70"/>
      <c r="V1221" s="70"/>
      <c r="W1221" s="70"/>
      <c r="X1221" s="125" t="e">
        <f>SUM(#REF!)</f>
        <v>#REF!</v>
      </c>
      <c r="Y1221" s="446"/>
      <c r="Z1221" s="446"/>
      <c r="AA1221" s="446"/>
      <c r="AB1221" s="446"/>
      <c r="AC1221" s="446"/>
      <c r="AD1221" s="134">
        <v>9000</v>
      </c>
      <c r="AE1221" s="123"/>
      <c r="AF1221" s="124"/>
      <c r="AG1221" s="125">
        <f t="shared" si="100"/>
        <v>9000</v>
      </c>
      <c r="AH1221" s="122" t="e">
        <f t="shared" si="98"/>
        <v>#REF!</v>
      </c>
    </row>
    <row r="1222" spans="8:34" hidden="1">
      <c r="H1222" s="2954"/>
      <c r="I1222" s="2954"/>
      <c r="J1222" s="2954"/>
      <c r="K1222" s="2954"/>
      <c r="L1222" s="2955"/>
      <c r="M1222" s="2955"/>
      <c r="N1222" s="2955"/>
      <c r="O1222" s="2955"/>
      <c r="P1222" s="2956"/>
      <c r="Q1222" s="1758"/>
      <c r="R1222" s="2228"/>
      <c r="S1222" s="1758"/>
      <c r="T1222" s="1153"/>
      <c r="U1222" s="622"/>
      <c r="V1222" s="622"/>
      <c r="W1222" s="622"/>
      <c r="X1222" s="135" t="e">
        <f>SUM(#REF!)</f>
        <v>#REF!</v>
      </c>
      <c r="Y1222" s="684"/>
      <c r="Z1222" s="684"/>
      <c r="AA1222" s="684"/>
      <c r="AB1222" s="684"/>
      <c r="AC1222" s="684"/>
      <c r="AD1222" s="136"/>
      <c r="AE1222" s="128"/>
      <c r="AF1222" s="129"/>
      <c r="AG1222" s="135">
        <f t="shared" si="100"/>
        <v>0</v>
      </c>
      <c r="AH1222" s="122" t="e">
        <f t="shared" si="98"/>
        <v>#REF!</v>
      </c>
    </row>
    <row r="1223" spans="8:34" hidden="1">
      <c r="H1223" s="2954"/>
      <c r="I1223" s="2954"/>
      <c r="J1223" s="2954"/>
      <c r="K1223" s="2954"/>
      <c r="L1223" s="2955"/>
      <c r="M1223" s="2955"/>
      <c r="N1223" s="2955"/>
      <c r="O1223" s="2955"/>
      <c r="P1223" s="2956"/>
      <c r="Q1223" s="1758"/>
      <c r="R1223" s="2228"/>
      <c r="S1223" s="1758"/>
      <c r="T1223" s="1153"/>
      <c r="U1223" s="622"/>
      <c r="V1223" s="622"/>
      <c r="W1223" s="622"/>
      <c r="X1223" s="135" t="e">
        <f>SUM(#REF!)</f>
        <v>#REF!</v>
      </c>
      <c r="Y1223" s="684"/>
      <c r="Z1223" s="684"/>
      <c r="AA1223" s="684"/>
      <c r="AB1223" s="684"/>
      <c r="AC1223" s="684"/>
      <c r="AD1223" s="136"/>
      <c r="AE1223" s="128"/>
      <c r="AF1223" s="129"/>
      <c r="AG1223" s="135">
        <f t="shared" si="100"/>
        <v>0</v>
      </c>
      <c r="AH1223" s="122" t="e">
        <f t="shared" si="98"/>
        <v>#REF!</v>
      </c>
    </row>
    <row r="1224" spans="8:34" hidden="1">
      <c r="H1224" s="2954"/>
      <c r="I1224" s="2954"/>
      <c r="J1224" s="2954"/>
      <c r="K1224" s="2954"/>
      <c r="L1224" s="2955"/>
      <c r="M1224" s="2955"/>
      <c r="N1224" s="2955"/>
      <c r="O1224" s="2955"/>
      <c r="P1224" s="2956"/>
      <c r="Q1224" s="1758"/>
      <c r="R1224" s="2228"/>
      <c r="S1224" s="1758"/>
      <c r="T1224" s="1153"/>
      <c r="U1224" s="622"/>
      <c r="V1224" s="622"/>
      <c r="W1224" s="622"/>
      <c r="X1224" s="135" t="e">
        <f>SUM(#REF!)</f>
        <v>#REF!</v>
      </c>
      <c r="Y1224" s="684"/>
      <c r="Z1224" s="684"/>
      <c r="AA1224" s="684"/>
      <c r="AB1224" s="684"/>
      <c r="AC1224" s="684"/>
      <c r="AD1224" s="136"/>
      <c r="AE1224" s="128"/>
      <c r="AF1224" s="129"/>
      <c r="AG1224" s="135">
        <f t="shared" si="100"/>
        <v>0</v>
      </c>
      <c r="AH1224" s="122" t="e">
        <f t="shared" si="98"/>
        <v>#REF!</v>
      </c>
    </row>
    <row r="1225" spans="8:34" hidden="1">
      <c r="H1225" s="2909"/>
      <c r="I1225" s="2909"/>
      <c r="J1225" s="2909"/>
      <c r="K1225" s="2909"/>
      <c r="L1225" s="2910"/>
      <c r="M1225" s="2910"/>
      <c r="N1225" s="2910"/>
      <c r="O1225" s="2910"/>
      <c r="P1225" s="2911"/>
      <c r="Q1225" s="1260"/>
      <c r="R1225" s="2216"/>
      <c r="S1225" s="1260"/>
      <c r="T1225" s="446"/>
      <c r="U1225" s="70"/>
      <c r="V1225" s="70"/>
      <c r="W1225" s="70"/>
      <c r="X1225" s="125" t="e">
        <f>SUM(X1226:X1227)</f>
        <v>#REF!</v>
      </c>
      <c r="Y1225" s="446"/>
      <c r="Z1225" s="446"/>
      <c r="AA1225" s="446"/>
      <c r="AB1225" s="446"/>
      <c r="AC1225" s="446"/>
      <c r="AD1225" s="126">
        <f>SUM(AD1226:AD1227)</f>
        <v>76000</v>
      </c>
      <c r="AE1225" s="123">
        <f>SUM(AE1226:AE1226)</f>
        <v>0</v>
      </c>
      <c r="AF1225" s="124">
        <f>SUM(AF1226:AF1226)</f>
        <v>0</v>
      </c>
      <c r="AG1225" s="125">
        <f>SUM(AG1226:AG1227)</f>
        <v>76000</v>
      </c>
      <c r="AH1225" s="122" t="e">
        <f t="shared" si="98"/>
        <v>#REF!</v>
      </c>
    </row>
    <row r="1226" spans="8:34" hidden="1">
      <c r="H1226" s="2924"/>
      <c r="I1226" s="2924"/>
      <c r="J1226" s="2924"/>
      <c r="K1226" s="2924"/>
      <c r="L1226" s="2925"/>
      <c r="M1226" s="2925"/>
      <c r="N1226" s="2925"/>
      <c r="O1226" s="2925"/>
      <c r="P1226" s="2926"/>
      <c r="Q1226" s="1748"/>
      <c r="R1226" s="2221"/>
      <c r="S1226" s="1748"/>
      <c r="T1226" s="679"/>
      <c r="U1226" s="53"/>
      <c r="V1226" s="53"/>
      <c r="W1226" s="53"/>
      <c r="X1226" s="119" t="e">
        <f>SUM(#REF!)</f>
        <v>#REF!</v>
      </c>
      <c r="Y1226" s="679"/>
      <c r="Z1226" s="679"/>
      <c r="AA1226" s="679"/>
      <c r="AB1226" s="679"/>
      <c r="AC1226" s="679"/>
      <c r="AD1226" s="137">
        <v>71000</v>
      </c>
      <c r="AE1226" s="121"/>
      <c r="AF1226" s="118"/>
      <c r="AG1226" s="119">
        <f>SUM(AD1226:AF1226)</f>
        <v>71000</v>
      </c>
      <c r="AH1226" s="122" t="e">
        <f t="shared" si="98"/>
        <v>#REF!</v>
      </c>
    </row>
    <row r="1227" spans="8:34" hidden="1">
      <c r="H1227" s="2924"/>
      <c r="I1227" s="2924"/>
      <c r="J1227" s="2924"/>
      <c r="K1227" s="2924"/>
      <c r="L1227" s="2925"/>
      <c r="M1227" s="2925"/>
      <c r="N1227" s="2925"/>
      <c r="O1227" s="2925"/>
      <c r="P1227" s="2926"/>
      <c r="Q1227" s="1748"/>
      <c r="R1227" s="2221"/>
      <c r="S1227" s="1748"/>
      <c r="T1227" s="679"/>
      <c r="U1227" s="53"/>
      <c r="V1227" s="53"/>
      <c r="W1227" s="53"/>
      <c r="X1227" s="119" t="e">
        <f>SUM(#REF!)</f>
        <v>#REF!</v>
      </c>
      <c r="Y1227" s="679"/>
      <c r="Z1227" s="679"/>
      <c r="AA1227" s="679"/>
      <c r="AB1227" s="679"/>
      <c r="AC1227" s="679"/>
      <c r="AD1227" s="138">
        <v>5000</v>
      </c>
      <c r="AE1227" s="121"/>
      <c r="AF1227" s="118"/>
      <c r="AG1227" s="119">
        <f>SUM(AD1227:AF1227)</f>
        <v>5000</v>
      </c>
      <c r="AH1227" s="122" t="e">
        <f t="shared" si="98"/>
        <v>#REF!</v>
      </c>
    </row>
    <row r="1228" spans="8:34" hidden="1">
      <c r="H1228" s="2909"/>
      <c r="I1228" s="2909"/>
      <c r="J1228" s="2909"/>
      <c r="K1228" s="2909"/>
      <c r="L1228" s="2910"/>
      <c r="M1228" s="2910"/>
      <c r="N1228" s="2910"/>
      <c r="O1228" s="2910"/>
      <c r="P1228" s="2911"/>
      <c r="Q1228" s="1260"/>
      <c r="R1228" s="2216"/>
      <c r="S1228" s="1260"/>
      <c r="T1228" s="446"/>
      <c r="U1228" s="70"/>
      <c r="V1228" s="70"/>
      <c r="W1228" s="70"/>
      <c r="X1228" s="125" t="e">
        <f>SUM(X1229,X1239,X1274,X1279,X1284,)</f>
        <v>#REF!</v>
      </c>
      <c r="Y1228" s="446"/>
      <c r="Z1228" s="446"/>
      <c r="AA1228" s="446"/>
      <c r="AB1228" s="446"/>
      <c r="AC1228" s="446"/>
      <c r="AD1228" s="127">
        <f>SUM(AD1229,AD1239,AD1274,AD1279,AD1284,)</f>
        <v>5642380</v>
      </c>
      <c r="AE1228" s="123">
        <f>SUM(AE1229,AE1239,AE1274,AE1279,AE1284)</f>
        <v>0</v>
      </c>
      <c r="AF1228" s="124">
        <f>SUM(AF1229,AF1239,AF1274,AF1279,AF1284)</f>
        <v>0</v>
      </c>
      <c r="AG1228" s="125">
        <f>SUM(AG1229,AG1239,AG1274,AG1279,AG1284,)</f>
        <v>5642380</v>
      </c>
      <c r="AH1228" s="122" t="e">
        <f t="shared" si="98"/>
        <v>#REF!</v>
      </c>
    </row>
    <row r="1229" spans="8:34" hidden="1">
      <c r="H1229" s="2909"/>
      <c r="I1229" s="2909"/>
      <c r="J1229" s="2909"/>
      <c r="K1229" s="2909"/>
      <c r="L1229" s="2910"/>
      <c r="M1229" s="2910"/>
      <c r="N1229" s="2910"/>
      <c r="O1229" s="2910"/>
      <c r="P1229" s="2911"/>
      <c r="Q1229" s="1260"/>
      <c r="R1229" s="2216"/>
      <c r="S1229" s="1260"/>
      <c r="T1229" s="446"/>
      <c r="U1229" s="70"/>
      <c r="V1229" s="70"/>
      <c r="W1229" s="70"/>
      <c r="X1229" s="125" t="e">
        <f>SUM(X1230,X1237,X1238,X1236,)</f>
        <v>#REF!</v>
      </c>
      <c r="Y1229" s="446"/>
      <c r="Z1229" s="446"/>
      <c r="AA1229" s="446"/>
      <c r="AB1229" s="446"/>
      <c r="AC1229" s="446"/>
      <c r="AD1229" s="127">
        <f>SUM(AD1230,AD1237:AD1238,AD1236,)</f>
        <v>2361020</v>
      </c>
      <c r="AE1229" s="123">
        <f>SUM(AE1230,AE1237:AE1238)</f>
        <v>0</v>
      </c>
      <c r="AF1229" s="124">
        <f>SUM(AF1230,AF1237:AF1238)</f>
        <v>0</v>
      </c>
      <c r="AG1229" s="125">
        <f>SUM(AG1230,AG1237,AG1238,AG1236,)</f>
        <v>2361020</v>
      </c>
      <c r="AH1229" s="122" t="e">
        <f t="shared" si="98"/>
        <v>#REF!</v>
      </c>
    </row>
    <row r="1230" spans="8:34" hidden="1">
      <c r="H1230" s="2909"/>
      <c r="I1230" s="2909"/>
      <c r="J1230" s="2909"/>
      <c r="K1230" s="2909"/>
      <c r="L1230" s="2910"/>
      <c r="M1230" s="2910"/>
      <c r="N1230" s="2910"/>
      <c r="O1230" s="2910"/>
      <c r="P1230" s="2911"/>
      <c r="Q1230" s="1260"/>
      <c r="R1230" s="2216"/>
      <c r="S1230" s="1260"/>
      <c r="T1230" s="446"/>
      <c r="U1230" s="70"/>
      <c r="V1230" s="70"/>
      <c r="W1230" s="70"/>
      <c r="X1230" s="125" t="e">
        <f t="shared" ref="X1230:AG1230" si="101">SUM(X1231:X1235)</f>
        <v>#REF!</v>
      </c>
      <c r="Y1230" s="446"/>
      <c r="Z1230" s="446"/>
      <c r="AA1230" s="446"/>
      <c r="AB1230" s="446"/>
      <c r="AC1230" s="446"/>
      <c r="AD1230" s="127">
        <f t="shared" si="101"/>
        <v>2305020</v>
      </c>
      <c r="AE1230" s="123">
        <f t="shared" si="101"/>
        <v>0</v>
      </c>
      <c r="AF1230" s="124">
        <f t="shared" si="101"/>
        <v>0</v>
      </c>
      <c r="AG1230" s="125">
        <f t="shared" si="101"/>
        <v>2305020</v>
      </c>
      <c r="AH1230" s="122" t="e">
        <f t="shared" si="98"/>
        <v>#REF!</v>
      </c>
    </row>
    <row r="1231" spans="8:34" hidden="1">
      <c r="H1231" s="2924"/>
      <c r="I1231" s="2924"/>
      <c r="J1231" s="2924"/>
      <c r="K1231" s="2924"/>
      <c r="L1231" s="2925"/>
      <c r="M1231" s="2925"/>
      <c r="N1231" s="2925"/>
      <c r="O1231" s="2925"/>
      <c r="P1231" s="2926"/>
      <c r="Q1231" s="1748"/>
      <c r="R1231" s="2221"/>
      <c r="S1231" s="1748"/>
      <c r="T1231" s="679"/>
      <c r="U1231" s="53"/>
      <c r="V1231" s="53"/>
      <c r="W1231" s="53"/>
      <c r="X1231" s="119" t="e">
        <f>SUM(#REF!)</f>
        <v>#REF!</v>
      </c>
      <c r="Y1231" s="679"/>
      <c r="Z1231" s="679"/>
      <c r="AA1231" s="679"/>
      <c r="AB1231" s="679"/>
      <c r="AC1231" s="679"/>
      <c r="AD1231" s="139">
        <v>934210</v>
      </c>
      <c r="AE1231" s="121"/>
      <c r="AF1231" s="118"/>
      <c r="AG1231" s="119">
        <f t="shared" ref="AG1231:AG1236" si="102">SUM(AD1231:AF1231)</f>
        <v>934210</v>
      </c>
      <c r="AH1231" s="122" t="e">
        <f t="shared" si="98"/>
        <v>#REF!</v>
      </c>
    </row>
    <row r="1232" spans="8:34" hidden="1">
      <c r="H1232" s="2924"/>
      <c r="I1232" s="2924"/>
      <c r="J1232" s="2924"/>
      <c r="K1232" s="2924"/>
      <c r="L1232" s="2925"/>
      <c r="M1232" s="2925"/>
      <c r="N1232" s="2925"/>
      <c r="O1232" s="2925"/>
      <c r="P1232" s="2926"/>
      <c r="Q1232" s="1748"/>
      <c r="R1232" s="2221"/>
      <c r="S1232" s="1748"/>
      <c r="T1232" s="679"/>
      <c r="U1232" s="53"/>
      <c r="V1232" s="53"/>
      <c r="W1232" s="53"/>
      <c r="X1232" s="119" t="e">
        <f>SUM(#REF!)</f>
        <v>#REF!</v>
      </c>
      <c r="Y1232" s="679"/>
      <c r="Z1232" s="679"/>
      <c r="AA1232" s="679"/>
      <c r="AB1232" s="679"/>
      <c r="AC1232" s="679"/>
      <c r="AD1232" s="139">
        <v>1238840</v>
      </c>
      <c r="AE1232" s="121"/>
      <c r="AF1232" s="118"/>
      <c r="AG1232" s="119">
        <f t="shared" si="102"/>
        <v>1238840</v>
      </c>
      <c r="AH1232" s="122" t="e">
        <f t="shared" si="98"/>
        <v>#REF!</v>
      </c>
    </row>
    <row r="1233" spans="8:34" hidden="1">
      <c r="H1233" s="2924"/>
      <c r="I1233" s="2924"/>
      <c r="J1233" s="2924"/>
      <c r="K1233" s="2924"/>
      <c r="L1233" s="2925"/>
      <c r="M1233" s="2925"/>
      <c r="N1233" s="2925"/>
      <c r="O1233" s="2925"/>
      <c r="P1233" s="2926"/>
      <c r="Q1233" s="1748"/>
      <c r="R1233" s="2221"/>
      <c r="S1233" s="1748"/>
      <c r="T1233" s="679"/>
      <c r="U1233" s="53"/>
      <c r="V1233" s="53"/>
      <c r="W1233" s="53"/>
      <c r="X1233" s="119" t="e">
        <f>SUM(#REF!)</f>
        <v>#REF!</v>
      </c>
      <c r="Y1233" s="679"/>
      <c r="Z1233" s="679"/>
      <c r="AA1233" s="679"/>
      <c r="AB1233" s="679"/>
      <c r="AC1233" s="679"/>
      <c r="AD1233" s="139">
        <v>93870</v>
      </c>
      <c r="AE1233" s="121"/>
      <c r="AF1233" s="118"/>
      <c r="AG1233" s="119">
        <f t="shared" si="102"/>
        <v>93870</v>
      </c>
      <c r="AH1233" s="122" t="e">
        <f t="shared" si="98"/>
        <v>#REF!</v>
      </c>
    </row>
    <row r="1234" spans="8:34" hidden="1">
      <c r="H1234" s="2924"/>
      <c r="I1234" s="2924"/>
      <c r="J1234" s="2924"/>
      <c r="K1234" s="2924"/>
      <c r="L1234" s="2925"/>
      <c r="M1234" s="2925"/>
      <c r="N1234" s="2925"/>
      <c r="O1234" s="2925"/>
      <c r="P1234" s="2926"/>
      <c r="Q1234" s="1748"/>
      <c r="R1234" s="2221"/>
      <c r="S1234" s="1748"/>
      <c r="T1234" s="679"/>
      <c r="U1234" s="53"/>
      <c r="V1234" s="53"/>
      <c r="W1234" s="53"/>
      <c r="X1234" s="119" t="e">
        <f>SUM(#REF!)</f>
        <v>#REF!</v>
      </c>
      <c r="Y1234" s="679"/>
      <c r="Z1234" s="679"/>
      <c r="AA1234" s="679"/>
      <c r="AB1234" s="679"/>
      <c r="AC1234" s="679"/>
      <c r="AD1234" s="139">
        <v>18100</v>
      </c>
      <c r="AE1234" s="121"/>
      <c r="AF1234" s="118"/>
      <c r="AG1234" s="119">
        <f t="shared" si="102"/>
        <v>18100</v>
      </c>
      <c r="AH1234" s="122" t="e">
        <f t="shared" si="98"/>
        <v>#REF!</v>
      </c>
    </row>
    <row r="1235" spans="8:34" hidden="1">
      <c r="H1235" s="2924"/>
      <c r="I1235" s="2924"/>
      <c r="J1235" s="2924"/>
      <c r="K1235" s="2924"/>
      <c r="L1235" s="2925"/>
      <c r="M1235" s="2925"/>
      <c r="N1235" s="2925"/>
      <c r="O1235" s="2925"/>
      <c r="P1235" s="2926"/>
      <c r="Q1235" s="1748"/>
      <c r="R1235" s="2221"/>
      <c r="S1235" s="1748"/>
      <c r="T1235" s="679"/>
      <c r="U1235" s="53"/>
      <c r="V1235" s="53"/>
      <c r="W1235" s="53"/>
      <c r="X1235" s="119" t="e">
        <f>SUM(#REF!)</f>
        <v>#REF!</v>
      </c>
      <c r="Y1235" s="679"/>
      <c r="Z1235" s="679"/>
      <c r="AA1235" s="679"/>
      <c r="AB1235" s="679"/>
      <c r="AC1235" s="679"/>
      <c r="AD1235" s="140">
        <v>20000</v>
      </c>
      <c r="AE1235" s="121"/>
      <c r="AF1235" s="118"/>
      <c r="AG1235" s="119">
        <f t="shared" si="102"/>
        <v>20000</v>
      </c>
      <c r="AH1235" s="122" t="e">
        <f t="shared" si="98"/>
        <v>#REF!</v>
      </c>
    </row>
    <row r="1236" spans="8:34" hidden="1">
      <c r="H1236" s="2909"/>
      <c r="I1236" s="2909"/>
      <c r="J1236" s="2909"/>
      <c r="K1236" s="2909"/>
      <c r="L1236" s="2910"/>
      <c r="M1236" s="2910"/>
      <c r="N1236" s="2910"/>
      <c r="O1236" s="2910"/>
      <c r="P1236" s="2911"/>
      <c r="Q1236" s="1260"/>
      <c r="R1236" s="2216"/>
      <c r="S1236" s="1260"/>
      <c r="T1236" s="446"/>
      <c r="U1236" s="70"/>
      <c r="V1236" s="70"/>
      <c r="W1236" s="70"/>
      <c r="X1236" s="125" t="e">
        <f>SUM(#REF!)</f>
        <v>#REF!</v>
      </c>
      <c r="Y1236" s="446"/>
      <c r="Z1236" s="446"/>
      <c r="AA1236" s="446"/>
      <c r="AB1236" s="446"/>
      <c r="AC1236" s="446"/>
      <c r="AD1236" s="141">
        <v>5000</v>
      </c>
      <c r="AE1236" s="123"/>
      <c r="AF1236" s="124"/>
      <c r="AG1236" s="125">
        <f t="shared" si="102"/>
        <v>5000</v>
      </c>
      <c r="AH1236" s="122" t="e">
        <f t="shared" ref="AH1236:AH1267" si="103">AG1236/X1236*100</f>
        <v>#REF!</v>
      </c>
    </row>
    <row r="1237" spans="8:34" hidden="1">
      <c r="H1237" s="2924"/>
      <c r="I1237" s="2924"/>
      <c r="J1237" s="2924"/>
      <c r="K1237" s="2924"/>
      <c r="L1237" s="2925"/>
      <c r="M1237" s="2925"/>
      <c r="N1237" s="2925"/>
      <c r="O1237" s="2925"/>
      <c r="P1237" s="2926"/>
      <c r="Q1237" s="1748"/>
      <c r="R1237" s="2221"/>
      <c r="S1237" s="1748"/>
      <c r="T1237" s="679"/>
      <c r="U1237" s="53"/>
      <c r="V1237" s="53"/>
      <c r="W1237" s="53"/>
      <c r="X1237" s="125" t="e">
        <f>SUM(#REF!)</f>
        <v>#REF!</v>
      </c>
      <c r="Y1237" s="446"/>
      <c r="Z1237" s="446"/>
      <c r="AA1237" s="446"/>
      <c r="AB1237" s="446"/>
      <c r="AC1237" s="446"/>
      <c r="AD1237" s="142">
        <v>40000</v>
      </c>
      <c r="AE1237" s="121"/>
      <c r="AF1237" s="118"/>
      <c r="AG1237" s="125">
        <f>SUM(AD1237:AF1237)</f>
        <v>40000</v>
      </c>
      <c r="AH1237" s="122" t="e">
        <f t="shared" si="103"/>
        <v>#REF!</v>
      </c>
    </row>
    <row r="1238" spans="8:34" hidden="1">
      <c r="H1238" s="2924"/>
      <c r="I1238" s="2924"/>
      <c r="J1238" s="2924"/>
      <c r="K1238" s="2924"/>
      <c r="L1238" s="2925"/>
      <c r="M1238" s="2925"/>
      <c r="N1238" s="2925"/>
      <c r="O1238" s="2925"/>
      <c r="P1238" s="2926"/>
      <c r="Q1238" s="1748"/>
      <c r="R1238" s="2221"/>
      <c r="S1238" s="1748"/>
      <c r="T1238" s="679"/>
      <c r="U1238" s="53"/>
      <c r="V1238" s="53"/>
      <c r="W1238" s="53"/>
      <c r="X1238" s="125" t="e">
        <f>SUM(#REF!)</f>
        <v>#REF!</v>
      </c>
      <c r="Y1238" s="446"/>
      <c r="Z1238" s="446"/>
      <c r="AA1238" s="446"/>
      <c r="AB1238" s="446"/>
      <c r="AC1238" s="446"/>
      <c r="AD1238" s="141">
        <v>11000</v>
      </c>
      <c r="AE1238" s="121"/>
      <c r="AF1238" s="118"/>
      <c r="AG1238" s="125">
        <f>SUM(AD1238:AF1238)</f>
        <v>11000</v>
      </c>
      <c r="AH1238" s="122" t="e">
        <f t="shared" si="103"/>
        <v>#REF!</v>
      </c>
    </row>
    <row r="1239" spans="8:34" hidden="1">
      <c r="H1239" s="2909"/>
      <c r="I1239" s="2909"/>
      <c r="J1239" s="2909"/>
      <c r="K1239" s="2909"/>
      <c r="L1239" s="2910"/>
      <c r="M1239" s="2910"/>
      <c r="N1239" s="2910"/>
      <c r="O1239" s="2910"/>
      <c r="P1239" s="2911"/>
      <c r="Q1239" s="1260"/>
      <c r="R1239" s="2216"/>
      <c r="S1239" s="1260"/>
      <c r="T1239" s="446"/>
      <c r="U1239" s="70"/>
      <c r="V1239" s="70"/>
      <c r="W1239" s="70"/>
      <c r="X1239" s="125" t="e">
        <f>SUM(X1240,X1265:X1272,X1273)</f>
        <v>#REF!</v>
      </c>
      <c r="Y1239" s="446"/>
      <c r="Z1239" s="446"/>
      <c r="AA1239" s="446"/>
      <c r="AB1239" s="446"/>
      <c r="AC1239" s="446"/>
      <c r="AD1239" s="127">
        <f>SUM(AD1240,AD1265:AD1271,AD1272)</f>
        <v>2246360</v>
      </c>
      <c r="AE1239" s="123">
        <f>SUM(AE1240,AE1265:AE1271,AE1272)</f>
        <v>0</v>
      </c>
      <c r="AF1239" s="124">
        <f>SUM(AF1240,AF1265:AF1271,AF1272)</f>
        <v>0</v>
      </c>
      <c r="AG1239" s="125">
        <f>SUM(AG1240,AG1265:AG1272,AG1273)</f>
        <v>2246360</v>
      </c>
      <c r="AH1239" s="122" t="e">
        <f t="shared" si="103"/>
        <v>#REF!</v>
      </c>
    </row>
    <row r="1240" spans="8:34" hidden="1">
      <c r="H1240" s="2909"/>
      <c r="I1240" s="2909"/>
      <c r="J1240" s="2909"/>
      <c r="K1240" s="2909"/>
      <c r="L1240" s="2910"/>
      <c r="M1240" s="2910"/>
      <c r="N1240" s="2910"/>
      <c r="O1240" s="2910"/>
      <c r="P1240" s="2911"/>
      <c r="Q1240" s="1260"/>
      <c r="R1240" s="2216"/>
      <c r="S1240" s="1260"/>
      <c r="T1240" s="446"/>
      <c r="U1240" s="70"/>
      <c r="V1240" s="70"/>
      <c r="W1240" s="70"/>
      <c r="X1240" s="125" t="e">
        <f t="shared" ref="X1240:AG1240" si="104">SUM(X1241:X1264)</f>
        <v>#REF!</v>
      </c>
      <c r="Y1240" s="446"/>
      <c r="Z1240" s="446"/>
      <c r="AA1240" s="446"/>
      <c r="AB1240" s="446"/>
      <c r="AC1240" s="446"/>
      <c r="AD1240" s="127">
        <f t="shared" si="104"/>
        <v>960050</v>
      </c>
      <c r="AE1240" s="123">
        <f t="shared" si="104"/>
        <v>0</v>
      </c>
      <c r="AF1240" s="124">
        <f t="shared" si="104"/>
        <v>0</v>
      </c>
      <c r="AG1240" s="125">
        <f t="shared" si="104"/>
        <v>960050</v>
      </c>
      <c r="AH1240" s="122" t="e">
        <f t="shared" si="103"/>
        <v>#REF!</v>
      </c>
    </row>
    <row r="1241" spans="8:34" hidden="1">
      <c r="H1241" s="2924"/>
      <c r="I1241" s="2924"/>
      <c r="J1241" s="2924"/>
      <c r="K1241" s="2924"/>
      <c r="L1241" s="2925"/>
      <c r="M1241" s="2925"/>
      <c r="N1241" s="2925"/>
      <c r="O1241" s="2925"/>
      <c r="P1241" s="2926"/>
      <c r="Q1241" s="1748"/>
      <c r="R1241" s="2221"/>
      <c r="S1241" s="1748"/>
      <c r="T1241" s="679"/>
      <c r="U1241" s="53"/>
      <c r="V1241" s="53"/>
      <c r="W1241" s="53"/>
      <c r="X1241" s="119" t="e">
        <f>SUM(#REF!)</f>
        <v>#REF!</v>
      </c>
      <c r="Y1241" s="679"/>
      <c r="Z1241" s="679"/>
      <c r="AA1241" s="679"/>
      <c r="AB1241" s="679"/>
      <c r="AC1241" s="679"/>
      <c r="AD1241" s="143">
        <v>66810</v>
      </c>
      <c r="AE1241" s="121"/>
      <c r="AF1241" s="118"/>
      <c r="AG1241" s="119">
        <f t="shared" ref="AG1241:AG1273" si="105">SUM(AD1241:AF1241)</f>
        <v>66810</v>
      </c>
      <c r="AH1241" s="122" t="e">
        <f t="shared" si="103"/>
        <v>#REF!</v>
      </c>
    </row>
    <row r="1242" spans="8:34" hidden="1">
      <c r="H1242" s="2924"/>
      <c r="I1242" s="2924"/>
      <c r="J1242" s="2924"/>
      <c r="K1242" s="2924"/>
      <c r="L1242" s="2925"/>
      <c r="M1242" s="2925"/>
      <c r="N1242" s="2925"/>
      <c r="O1242" s="2925"/>
      <c r="P1242" s="2926"/>
      <c r="Q1242" s="1748"/>
      <c r="R1242" s="2221"/>
      <c r="S1242" s="1748"/>
      <c r="T1242" s="679"/>
      <c r="U1242" s="53"/>
      <c r="V1242" s="53"/>
      <c r="W1242" s="53"/>
      <c r="X1242" s="119" t="e">
        <f>SUM(#REF!)</f>
        <v>#REF!</v>
      </c>
      <c r="Y1242" s="679"/>
      <c r="Z1242" s="679"/>
      <c r="AA1242" s="679"/>
      <c r="AB1242" s="679"/>
      <c r="AC1242" s="679"/>
      <c r="AD1242" s="143">
        <v>50940</v>
      </c>
      <c r="AE1242" s="121"/>
      <c r="AF1242" s="118"/>
      <c r="AG1242" s="119">
        <f t="shared" si="105"/>
        <v>50940</v>
      </c>
      <c r="AH1242" s="122" t="e">
        <f t="shared" si="103"/>
        <v>#REF!</v>
      </c>
    </row>
    <row r="1243" spans="8:34" hidden="1">
      <c r="H1243" s="2924"/>
      <c r="I1243" s="2924"/>
      <c r="J1243" s="2924"/>
      <c r="K1243" s="2924"/>
      <c r="L1243" s="2925"/>
      <c r="M1243" s="2925"/>
      <c r="N1243" s="2925"/>
      <c r="O1243" s="2925"/>
      <c r="P1243" s="2926"/>
      <c r="Q1243" s="1748"/>
      <c r="R1243" s="2221"/>
      <c r="S1243" s="1748"/>
      <c r="T1243" s="679"/>
      <c r="U1243" s="53"/>
      <c r="V1243" s="53"/>
      <c r="W1243" s="53"/>
      <c r="X1243" s="119" t="e">
        <f>SUM(#REF!)</f>
        <v>#REF!</v>
      </c>
      <c r="Y1243" s="679"/>
      <c r="Z1243" s="679"/>
      <c r="AA1243" s="679"/>
      <c r="AB1243" s="679"/>
      <c r="AC1243" s="679"/>
      <c r="AD1243" s="143">
        <v>30470</v>
      </c>
      <c r="AE1243" s="121"/>
      <c r="AF1243" s="118"/>
      <c r="AG1243" s="119">
        <f t="shared" si="105"/>
        <v>30470</v>
      </c>
      <c r="AH1243" s="122" t="e">
        <f t="shared" si="103"/>
        <v>#REF!</v>
      </c>
    </row>
    <row r="1244" spans="8:34" hidden="1">
      <c r="H1244" s="2924"/>
      <c r="I1244" s="2924"/>
      <c r="J1244" s="2924"/>
      <c r="K1244" s="2924"/>
      <c r="L1244" s="2925"/>
      <c r="M1244" s="2925"/>
      <c r="N1244" s="2925"/>
      <c r="O1244" s="2925"/>
      <c r="P1244" s="2926"/>
      <c r="Q1244" s="1748"/>
      <c r="R1244" s="2221"/>
      <c r="S1244" s="1748"/>
      <c r="T1244" s="679"/>
      <c r="U1244" s="53"/>
      <c r="V1244" s="53"/>
      <c r="W1244" s="53"/>
      <c r="X1244" s="119" t="e">
        <f>SUM(#REF!)</f>
        <v>#REF!</v>
      </c>
      <c r="Y1244" s="679"/>
      <c r="Z1244" s="679"/>
      <c r="AA1244" s="679"/>
      <c r="AB1244" s="679"/>
      <c r="AC1244" s="679"/>
      <c r="AD1244" s="143">
        <v>32950</v>
      </c>
      <c r="AE1244" s="121"/>
      <c r="AF1244" s="118"/>
      <c r="AG1244" s="119">
        <f t="shared" si="105"/>
        <v>32950</v>
      </c>
      <c r="AH1244" s="122" t="e">
        <f t="shared" si="103"/>
        <v>#REF!</v>
      </c>
    </row>
    <row r="1245" spans="8:34" hidden="1">
      <c r="H1245" s="2924"/>
      <c r="I1245" s="2924"/>
      <c r="J1245" s="2924"/>
      <c r="K1245" s="2924"/>
      <c r="L1245" s="2925"/>
      <c r="M1245" s="2925"/>
      <c r="N1245" s="2925"/>
      <c r="O1245" s="2925"/>
      <c r="P1245" s="2926"/>
      <c r="Q1245" s="1748"/>
      <c r="R1245" s="2221"/>
      <c r="S1245" s="1748"/>
      <c r="T1245" s="679"/>
      <c r="U1245" s="53"/>
      <c r="V1245" s="53"/>
      <c r="W1245" s="53"/>
      <c r="X1245" s="119" t="e">
        <f>SUM(#REF!)</f>
        <v>#REF!</v>
      </c>
      <c r="Y1245" s="679"/>
      <c r="Z1245" s="679"/>
      <c r="AA1245" s="679"/>
      <c r="AB1245" s="679"/>
      <c r="AC1245" s="679"/>
      <c r="AD1245" s="143">
        <v>46760</v>
      </c>
      <c r="AE1245" s="121"/>
      <c r="AF1245" s="118"/>
      <c r="AG1245" s="119">
        <f t="shared" si="105"/>
        <v>46760</v>
      </c>
      <c r="AH1245" s="122" t="e">
        <f t="shared" si="103"/>
        <v>#REF!</v>
      </c>
    </row>
    <row r="1246" spans="8:34" hidden="1">
      <c r="H1246" s="2924"/>
      <c r="I1246" s="2924"/>
      <c r="J1246" s="2924"/>
      <c r="K1246" s="2924"/>
      <c r="L1246" s="2925"/>
      <c r="M1246" s="2925"/>
      <c r="N1246" s="2925"/>
      <c r="O1246" s="2925"/>
      <c r="P1246" s="2926"/>
      <c r="Q1246" s="1748"/>
      <c r="R1246" s="2221"/>
      <c r="S1246" s="1748"/>
      <c r="T1246" s="679"/>
      <c r="U1246" s="53"/>
      <c r="V1246" s="53"/>
      <c r="W1246" s="53"/>
      <c r="X1246" s="119" t="e">
        <f>SUM(#REF!)</f>
        <v>#REF!</v>
      </c>
      <c r="Y1246" s="679"/>
      <c r="Z1246" s="679"/>
      <c r="AA1246" s="679"/>
      <c r="AB1246" s="679"/>
      <c r="AC1246" s="679"/>
      <c r="AD1246" s="143">
        <v>24690</v>
      </c>
      <c r="AE1246" s="121"/>
      <c r="AF1246" s="118"/>
      <c r="AG1246" s="119">
        <f t="shared" si="105"/>
        <v>24690</v>
      </c>
      <c r="AH1246" s="122" t="e">
        <f t="shared" si="103"/>
        <v>#REF!</v>
      </c>
    </row>
    <row r="1247" spans="8:34" hidden="1">
      <c r="H1247" s="2924"/>
      <c r="I1247" s="2924"/>
      <c r="J1247" s="2924"/>
      <c r="K1247" s="2924"/>
      <c r="L1247" s="2925"/>
      <c r="M1247" s="2925"/>
      <c r="N1247" s="2925"/>
      <c r="O1247" s="2925"/>
      <c r="P1247" s="2926"/>
      <c r="Q1247" s="1748"/>
      <c r="R1247" s="2221"/>
      <c r="S1247" s="1748"/>
      <c r="T1247" s="679"/>
      <c r="U1247" s="53"/>
      <c r="V1247" s="53"/>
      <c r="W1247" s="53"/>
      <c r="X1247" s="119" t="e">
        <f>SUM(#REF!)</f>
        <v>#REF!</v>
      </c>
      <c r="Y1247" s="679"/>
      <c r="Z1247" s="679"/>
      <c r="AA1247" s="679"/>
      <c r="AB1247" s="679"/>
      <c r="AC1247" s="679"/>
      <c r="AD1247" s="143">
        <v>55060</v>
      </c>
      <c r="AE1247" s="121"/>
      <c r="AF1247" s="118"/>
      <c r="AG1247" s="119">
        <f t="shared" si="105"/>
        <v>55060</v>
      </c>
      <c r="AH1247" s="122" t="e">
        <f t="shared" si="103"/>
        <v>#REF!</v>
      </c>
    </row>
    <row r="1248" spans="8:34" hidden="1">
      <c r="H1248" s="2924"/>
      <c r="I1248" s="2924"/>
      <c r="J1248" s="2924"/>
      <c r="K1248" s="2924"/>
      <c r="L1248" s="2925"/>
      <c r="M1248" s="2925"/>
      <c r="N1248" s="2925"/>
      <c r="O1248" s="2925"/>
      <c r="P1248" s="2926"/>
      <c r="Q1248" s="1748"/>
      <c r="R1248" s="2221"/>
      <c r="S1248" s="1748"/>
      <c r="T1248" s="679"/>
      <c r="U1248" s="53"/>
      <c r="V1248" s="53"/>
      <c r="W1248" s="53"/>
      <c r="X1248" s="119" t="e">
        <f>SUM(#REF!)</f>
        <v>#REF!</v>
      </c>
      <c r="Y1248" s="679"/>
      <c r="Z1248" s="679"/>
      <c r="AA1248" s="679"/>
      <c r="AB1248" s="679"/>
      <c r="AC1248" s="679"/>
      <c r="AD1248" s="143">
        <v>48390</v>
      </c>
      <c r="AE1248" s="121"/>
      <c r="AF1248" s="118"/>
      <c r="AG1248" s="119">
        <f t="shared" si="105"/>
        <v>48390</v>
      </c>
      <c r="AH1248" s="122" t="e">
        <f t="shared" si="103"/>
        <v>#REF!</v>
      </c>
    </row>
    <row r="1249" spans="8:34" hidden="1">
      <c r="H1249" s="2924"/>
      <c r="I1249" s="2924"/>
      <c r="J1249" s="2924"/>
      <c r="K1249" s="2924"/>
      <c r="L1249" s="2925"/>
      <c r="M1249" s="2925"/>
      <c r="N1249" s="2925"/>
      <c r="O1249" s="2925"/>
      <c r="P1249" s="2926"/>
      <c r="Q1249" s="1748"/>
      <c r="R1249" s="2221"/>
      <c r="S1249" s="1748"/>
      <c r="T1249" s="679"/>
      <c r="U1249" s="53"/>
      <c r="V1249" s="53"/>
      <c r="W1249" s="53"/>
      <c r="X1249" s="119" t="e">
        <f>SUM(#REF!)</f>
        <v>#REF!</v>
      </c>
      <c r="Y1249" s="679"/>
      <c r="Z1249" s="679"/>
      <c r="AA1249" s="679"/>
      <c r="AB1249" s="679"/>
      <c r="AC1249" s="679"/>
      <c r="AD1249" s="143">
        <v>21600</v>
      </c>
      <c r="AE1249" s="121"/>
      <c r="AF1249" s="118"/>
      <c r="AG1249" s="119">
        <f t="shared" si="105"/>
        <v>21600</v>
      </c>
      <c r="AH1249" s="122" t="e">
        <f t="shared" si="103"/>
        <v>#REF!</v>
      </c>
    </row>
    <row r="1250" spans="8:34" hidden="1">
      <c r="H1250" s="2924"/>
      <c r="I1250" s="2924"/>
      <c r="J1250" s="2924"/>
      <c r="K1250" s="2924"/>
      <c r="L1250" s="2925"/>
      <c r="M1250" s="2925"/>
      <c r="N1250" s="2925"/>
      <c r="O1250" s="2925"/>
      <c r="P1250" s="2926"/>
      <c r="Q1250" s="1748"/>
      <c r="R1250" s="2221"/>
      <c r="S1250" s="1748"/>
      <c r="T1250" s="679"/>
      <c r="U1250" s="53"/>
      <c r="V1250" s="53"/>
      <c r="W1250" s="53"/>
      <c r="X1250" s="119" t="e">
        <f>SUM(#REF!)</f>
        <v>#REF!</v>
      </c>
      <c r="Y1250" s="679"/>
      <c r="Z1250" s="679"/>
      <c r="AA1250" s="679"/>
      <c r="AB1250" s="679"/>
      <c r="AC1250" s="679"/>
      <c r="AD1250" s="143">
        <v>24250</v>
      </c>
      <c r="AE1250" s="121"/>
      <c r="AF1250" s="118"/>
      <c r="AG1250" s="119">
        <f t="shared" si="105"/>
        <v>24250</v>
      </c>
      <c r="AH1250" s="122" t="e">
        <f t="shared" si="103"/>
        <v>#REF!</v>
      </c>
    </row>
    <row r="1251" spans="8:34" hidden="1">
      <c r="H1251" s="2924"/>
      <c r="I1251" s="2924"/>
      <c r="J1251" s="2924"/>
      <c r="K1251" s="2924"/>
      <c r="L1251" s="2925"/>
      <c r="M1251" s="2925"/>
      <c r="N1251" s="2925"/>
      <c r="O1251" s="2925"/>
      <c r="P1251" s="2926"/>
      <c r="Q1251" s="1748"/>
      <c r="R1251" s="2221"/>
      <c r="S1251" s="1748"/>
      <c r="T1251" s="679"/>
      <c r="U1251" s="53"/>
      <c r="V1251" s="53"/>
      <c r="W1251" s="53"/>
      <c r="X1251" s="119" t="e">
        <f>SUM(#REF!)</f>
        <v>#REF!</v>
      </c>
      <c r="Y1251" s="679"/>
      <c r="Z1251" s="679"/>
      <c r="AA1251" s="679"/>
      <c r="AB1251" s="679"/>
      <c r="AC1251" s="679"/>
      <c r="AD1251" s="143">
        <v>46160</v>
      </c>
      <c r="AE1251" s="121"/>
      <c r="AF1251" s="118"/>
      <c r="AG1251" s="119">
        <f t="shared" si="105"/>
        <v>46160</v>
      </c>
      <c r="AH1251" s="122" t="e">
        <f t="shared" si="103"/>
        <v>#REF!</v>
      </c>
    </row>
    <row r="1252" spans="8:34" hidden="1">
      <c r="H1252" s="2924"/>
      <c r="I1252" s="2924"/>
      <c r="J1252" s="2924"/>
      <c r="K1252" s="2924"/>
      <c r="L1252" s="2925"/>
      <c r="M1252" s="2925"/>
      <c r="N1252" s="2925"/>
      <c r="O1252" s="2925"/>
      <c r="P1252" s="2926"/>
      <c r="Q1252" s="1748"/>
      <c r="R1252" s="2221"/>
      <c r="S1252" s="1748"/>
      <c r="T1252" s="679"/>
      <c r="U1252" s="53"/>
      <c r="V1252" s="53"/>
      <c r="W1252" s="53"/>
      <c r="X1252" s="119" t="e">
        <f>SUM(#REF!)</f>
        <v>#REF!</v>
      </c>
      <c r="Y1252" s="679"/>
      <c r="Z1252" s="679"/>
      <c r="AA1252" s="679"/>
      <c r="AB1252" s="679"/>
      <c r="AC1252" s="679"/>
      <c r="AD1252" s="143">
        <v>31360</v>
      </c>
      <c r="AE1252" s="121"/>
      <c r="AF1252" s="118"/>
      <c r="AG1252" s="119">
        <f t="shared" si="105"/>
        <v>31360</v>
      </c>
      <c r="AH1252" s="122" t="e">
        <f t="shared" si="103"/>
        <v>#REF!</v>
      </c>
    </row>
    <row r="1253" spans="8:34" hidden="1">
      <c r="H1253" s="2924"/>
      <c r="I1253" s="2924"/>
      <c r="J1253" s="2924"/>
      <c r="K1253" s="2924"/>
      <c r="L1253" s="2925"/>
      <c r="M1253" s="2925"/>
      <c r="N1253" s="2925"/>
      <c r="O1253" s="2925"/>
      <c r="P1253" s="2926"/>
      <c r="Q1253" s="1748"/>
      <c r="R1253" s="2221"/>
      <c r="S1253" s="1748"/>
      <c r="T1253" s="679"/>
      <c r="U1253" s="53"/>
      <c r="V1253" s="53"/>
      <c r="W1253" s="53"/>
      <c r="X1253" s="119" t="e">
        <f>SUM(#REF!)</f>
        <v>#REF!</v>
      </c>
      <c r="Y1253" s="679"/>
      <c r="Z1253" s="679"/>
      <c r="AA1253" s="679"/>
      <c r="AB1253" s="679"/>
      <c r="AC1253" s="679"/>
      <c r="AD1253" s="143">
        <v>58930</v>
      </c>
      <c r="AE1253" s="121"/>
      <c r="AF1253" s="118"/>
      <c r="AG1253" s="119">
        <f t="shared" si="105"/>
        <v>58930</v>
      </c>
      <c r="AH1253" s="122" t="e">
        <f t="shared" si="103"/>
        <v>#REF!</v>
      </c>
    </row>
    <row r="1254" spans="8:34" hidden="1">
      <c r="H1254" s="2924"/>
      <c r="I1254" s="2924"/>
      <c r="J1254" s="2924"/>
      <c r="K1254" s="2924"/>
      <c r="L1254" s="2925"/>
      <c r="M1254" s="2925"/>
      <c r="N1254" s="2925"/>
      <c r="O1254" s="2925"/>
      <c r="P1254" s="2926"/>
      <c r="Q1254" s="1748"/>
      <c r="R1254" s="2221"/>
      <c r="S1254" s="1748"/>
      <c r="T1254" s="679"/>
      <c r="U1254" s="53"/>
      <c r="V1254" s="53"/>
      <c r="W1254" s="53"/>
      <c r="X1254" s="119" t="e">
        <f>SUM(#REF!)</f>
        <v>#REF!</v>
      </c>
      <c r="Y1254" s="679"/>
      <c r="Z1254" s="679"/>
      <c r="AA1254" s="679"/>
      <c r="AB1254" s="679"/>
      <c r="AC1254" s="679"/>
      <c r="AD1254" s="143">
        <v>13450</v>
      </c>
      <c r="AE1254" s="121"/>
      <c r="AF1254" s="118"/>
      <c r="AG1254" s="119">
        <f t="shared" si="105"/>
        <v>13450</v>
      </c>
      <c r="AH1254" s="122" t="e">
        <f t="shared" si="103"/>
        <v>#REF!</v>
      </c>
    </row>
    <row r="1255" spans="8:34" hidden="1">
      <c r="H1255" s="2924"/>
      <c r="I1255" s="2924"/>
      <c r="J1255" s="2924"/>
      <c r="K1255" s="2924"/>
      <c r="L1255" s="2925"/>
      <c r="M1255" s="2925"/>
      <c r="N1255" s="2925"/>
      <c r="O1255" s="2925"/>
      <c r="P1255" s="2926"/>
      <c r="Q1255" s="1748"/>
      <c r="R1255" s="2221"/>
      <c r="S1255" s="1748"/>
      <c r="T1255" s="679"/>
      <c r="U1255" s="53"/>
      <c r="V1255" s="53"/>
      <c r="W1255" s="53"/>
      <c r="X1255" s="119" t="e">
        <f>SUM(#REF!)</f>
        <v>#REF!</v>
      </c>
      <c r="Y1255" s="679"/>
      <c r="Z1255" s="679"/>
      <c r="AA1255" s="679"/>
      <c r="AB1255" s="679"/>
      <c r="AC1255" s="679"/>
      <c r="AD1255" s="143">
        <v>31880</v>
      </c>
      <c r="AE1255" s="121"/>
      <c r="AF1255" s="118"/>
      <c r="AG1255" s="119">
        <f t="shared" si="105"/>
        <v>31880</v>
      </c>
      <c r="AH1255" s="122" t="e">
        <f t="shared" si="103"/>
        <v>#REF!</v>
      </c>
    </row>
    <row r="1256" spans="8:34" hidden="1">
      <c r="H1256" s="2924"/>
      <c r="I1256" s="2924"/>
      <c r="J1256" s="2924"/>
      <c r="K1256" s="2924"/>
      <c r="L1256" s="2925"/>
      <c r="M1256" s="2925"/>
      <c r="N1256" s="2925"/>
      <c r="O1256" s="2925"/>
      <c r="P1256" s="2926"/>
      <c r="Q1256" s="1748"/>
      <c r="R1256" s="2221"/>
      <c r="S1256" s="1748"/>
      <c r="T1256" s="679"/>
      <c r="U1256" s="53"/>
      <c r="V1256" s="53"/>
      <c r="W1256" s="53"/>
      <c r="X1256" s="119" t="e">
        <f>SUM(#REF!)</f>
        <v>#REF!</v>
      </c>
      <c r="Y1256" s="679"/>
      <c r="Z1256" s="679"/>
      <c r="AA1256" s="679"/>
      <c r="AB1256" s="679"/>
      <c r="AC1256" s="679"/>
      <c r="AD1256" s="143">
        <v>36230</v>
      </c>
      <c r="AE1256" s="121"/>
      <c r="AF1256" s="118"/>
      <c r="AG1256" s="119">
        <f t="shared" si="105"/>
        <v>36230</v>
      </c>
      <c r="AH1256" s="122" t="e">
        <f t="shared" si="103"/>
        <v>#REF!</v>
      </c>
    </row>
    <row r="1257" spans="8:34" hidden="1">
      <c r="H1257" s="2924"/>
      <c r="I1257" s="2924"/>
      <c r="J1257" s="2924"/>
      <c r="K1257" s="2924"/>
      <c r="L1257" s="2925"/>
      <c r="M1257" s="2925"/>
      <c r="N1257" s="2925"/>
      <c r="O1257" s="2925"/>
      <c r="P1257" s="2926"/>
      <c r="Q1257" s="1748"/>
      <c r="R1257" s="2221"/>
      <c r="S1257" s="1748"/>
      <c r="T1257" s="679"/>
      <c r="U1257" s="53"/>
      <c r="V1257" s="53"/>
      <c r="W1257" s="53"/>
      <c r="X1257" s="119" t="e">
        <f>SUM(#REF!)</f>
        <v>#REF!</v>
      </c>
      <c r="Y1257" s="679"/>
      <c r="Z1257" s="679"/>
      <c r="AA1257" s="679"/>
      <c r="AB1257" s="679"/>
      <c r="AC1257" s="679"/>
      <c r="AD1257" s="143">
        <v>27560</v>
      </c>
      <c r="AE1257" s="121"/>
      <c r="AF1257" s="118"/>
      <c r="AG1257" s="119">
        <f t="shared" si="105"/>
        <v>27560</v>
      </c>
      <c r="AH1257" s="122" t="e">
        <f t="shared" si="103"/>
        <v>#REF!</v>
      </c>
    </row>
    <row r="1258" spans="8:34" hidden="1">
      <c r="H1258" s="2924"/>
      <c r="I1258" s="2924"/>
      <c r="J1258" s="2924"/>
      <c r="K1258" s="2924"/>
      <c r="L1258" s="2925"/>
      <c r="M1258" s="2925"/>
      <c r="N1258" s="2925"/>
      <c r="O1258" s="2925"/>
      <c r="P1258" s="2926"/>
      <c r="Q1258" s="1748"/>
      <c r="R1258" s="2221"/>
      <c r="S1258" s="1748"/>
      <c r="T1258" s="679"/>
      <c r="U1258" s="53"/>
      <c r="V1258" s="53"/>
      <c r="W1258" s="53"/>
      <c r="X1258" s="119" t="e">
        <f>SUM(#REF!)</f>
        <v>#REF!</v>
      </c>
      <c r="Y1258" s="679"/>
      <c r="Z1258" s="679"/>
      <c r="AA1258" s="679"/>
      <c r="AB1258" s="679"/>
      <c r="AC1258" s="679"/>
      <c r="AD1258" s="143">
        <v>63570</v>
      </c>
      <c r="AE1258" s="121"/>
      <c r="AF1258" s="118"/>
      <c r="AG1258" s="119">
        <f t="shared" si="105"/>
        <v>63570</v>
      </c>
      <c r="AH1258" s="122" t="e">
        <f t="shared" si="103"/>
        <v>#REF!</v>
      </c>
    </row>
    <row r="1259" spans="8:34" hidden="1">
      <c r="H1259" s="2924"/>
      <c r="I1259" s="2924"/>
      <c r="J1259" s="2924"/>
      <c r="K1259" s="2924"/>
      <c r="L1259" s="2925"/>
      <c r="M1259" s="2925"/>
      <c r="N1259" s="2925"/>
      <c r="O1259" s="2925"/>
      <c r="P1259" s="2926"/>
      <c r="Q1259" s="1748"/>
      <c r="R1259" s="2221"/>
      <c r="S1259" s="1748"/>
      <c r="T1259" s="679"/>
      <c r="U1259" s="53"/>
      <c r="V1259" s="53"/>
      <c r="W1259" s="53"/>
      <c r="X1259" s="119" t="e">
        <f>SUM(#REF!)</f>
        <v>#REF!</v>
      </c>
      <c r="Y1259" s="679"/>
      <c r="Z1259" s="679"/>
      <c r="AA1259" s="679"/>
      <c r="AB1259" s="679"/>
      <c r="AC1259" s="679"/>
      <c r="AD1259" s="143">
        <v>45250</v>
      </c>
      <c r="AE1259" s="121"/>
      <c r="AF1259" s="118"/>
      <c r="AG1259" s="119">
        <f t="shared" si="105"/>
        <v>45250</v>
      </c>
      <c r="AH1259" s="122" t="e">
        <f t="shared" si="103"/>
        <v>#REF!</v>
      </c>
    </row>
    <row r="1260" spans="8:34" hidden="1">
      <c r="H1260" s="2924"/>
      <c r="I1260" s="2924"/>
      <c r="J1260" s="2924"/>
      <c r="K1260" s="2924"/>
      <c r="L1260" s="2925"/>
      <c r="M1260" s="2925"/>
      <c r="N1260" s="2925"/>
      <c r="O1260" s="2925"/>
      <c r="P1260" s="2926"/>
      <c r="Q1260" s="1748"/>
      <c r="R1260" s="2221"/>
      <c r="S1260" s="1748"/>
      <c r="T1260" s="679"/>
      <c r="U1260" s="53"/>
      <c r="V1260" s="53"/>
      <c r="W1260" s="53"/>
      <c r="X1260" s="119" t="e">
        <f>SUM(#REF!)</f>
        <v>#REF!</v>
      </c>
      <c r="Y1260" s="679"/>
      <c r="Z1260" s="679"/>
      <c r="AA1260" s="679"/>
      <c r="AB1260" s="679"/>
      <c r="AC1260" s="679"/>
      <c r="AD1260" s="143">
        <v>40670</v>
      </c>
      <c r="AE1260" s="121"/>
      <c r="AF1260" s="118"/>
      <c r="AG1260" s="119">
        <f t="shared" si="105"/>
        <v>40670</v>
      </c>
      <c r="AH1260" s="122" t="e">
        <f t="shared" si="103"/>
        <v>#REF!</v>
      </c>
    </row>
    <row r="1261" spans="8:34" hidden="1">
      <c r="H1261" s="2924"/>
      <c r="I1261" s="2924"/>
      <c r="J1261" s="2924"/>
      <c r="K1261" s="2924"/>
      <c r="L1261" s="2925"/>
      <c r="M1261" s="2925"/>
      <c r="N1261" s="2925"/>
      <c r="O1261" s="2925"/>
      <c r="P1261" s="2926"/>
      <c r="Q1261" s="1748"/>
      <c r="R1261" s="2221"/>
      <c r="S1261" s="1748"/>
      <c r="T1261" s="679"/>
      <c r="U1261" s="53"/>
      <c r="V1261" s="53"/>
      <c r="W1261" s="53"/>
      <c r="X1261" s="119" t="e">
        <f>SUM(#REF!)</f>
        <v>#REF!</v>
      </c>
      <c r="Y1261" s="679"/>
      <c r="Z1261" s="679"/>
      <c r="AA1261" s="679"/>
      <c r="AB1261" s="679"/>
      <c r="AC1261" s="679"/>
      <c r="AD1261" s="143">
        <v>29620</v>
      </c>
      <c r="AE1261" s="121"/>
      <c r="AF1261" s="118"/>
      <c r="AG1261" s="119">
        <f t="shared" si="105"/>
        <v>29620</v>
      </c>
      <c r="AH1261" s="122" t="e">
        <f t="shared" si="103"/>
        <v>#REF!</v>
      </c>
    </row>
    <row r="1262" spans="8:34" hidden="1">
      <c r="H1262" s="2924"/>
      <c r="I1262" s="2924"/>
      <c r="J1262" s="2924"/>
      <c r="K1262" s="2924"/>
      <c r="L1262" s="2925"/>
      <c r="M1262" s="2925"/>
      <c r="N1262" s="2925"/>
      <c r="O1262" s="2925"/>
      <c r="P1262" s="2926"/>
      <c r="Q1262" s="1748"/>
      <c r="R1262" s="2221"/>
      <c r="S1262" s="1748"/>
      <c r="T1262" s="679"/>
      <c r="U1262" s="53"/>
      <c r="V1262" s="53"/>
      <c r="W1262" s="53"/>
      <c r="X1262" s="119" t="e">
        <f>SUM(#REF!)</f>
        <v>#REF!</v>
      </c>
      <c r="Y1262" s="679"/>
      <c r="Z1262" s="679"/>
      <c r="AA1262" s="679"/>
      <c r="AB1262" s="679"/>
      <c r="AC1262" s="679"/>
      <c r="AD1262" s="143">
        <v>60420</v>
      </c>
      <c r="AE1262" s="121"/>
      <c r="AF1262" s="118"/>
      <c r="AG1262" s="119">
        <f t="shared" si="105"/>
        <v>60420</v>
      </c>
      <c r="AH1262" s="122" t="e">
        <f t="shared" si="103"/>
        <v>#REF!</v>
      </c>
    </row>
    <row r="1263" spans="8:34" hidden="1">
      <c r="H1263" s="2924"/>
      <c r="I1263" s="2924"/>
      <c r="J1263" s="2924"/>
      <c r="K1263" s="2924"/>
      <c r="L1263" s="2925"/>
      <c r="M1263" s="2925"/>
      <c r="N1263" s="2925"/>
      <c r="O1263" s="2925"/>
      <c r="P1263" s="2926"/>
      <c r="Q1263" s="1748"/>
      <c r="R1263" s="2221"/>
      <c r="S1263" s="1748"/>
      <c r="T1263" s="679"/>
      <c r="U1263" s="53"/>
      <c r="V1263" s="53"/>
      <c r="W1263" s="53"/>
      <c r="X1263" s="119" t="e">
        <f>SUM(#REF!)</f>
        <v>#REF!</v>
      </c>
      <c r="Y1263" s="679"/>
      <c r="Z1263" s="679"/>
      <c r="AA1263" s="679"/>
      <c r="AB1263" s="679"/>
      <c r="AC1263" s="679"/>
      <c r="AD1263" s="143">
        <v>28990</v>
      </c>
      <c r="AE1263" s="121"/>
      <c r="AF1263" s="118"/>
      <c r="AG1263" s="119">
        <f t="shared" si="105"/>
        <v>28990</v>
      </c>
      <c r="AH1263" s="122" t="e">
        <f t="shared" si="103"/>
        <v>#REF!</v>
      </c>
    </row>
    <row r="1264" spans="8:34" hidden="1">
      <c r="H1264" s="2924"/>
      <c r="I1264" s="2924"/>
      <c r="J1264" s="2924"/>
      <c r="K1264" s="2924"/>
      <c r="L1264" s="2925"/>
      <c r="M1264" s="2925"/>
      <c r="N1264" s="2925"/>
      <c r="O1264" s="2925"/>
      <c r="P1264" s="2926"/>
      <c r="Q1264" s="1748"/>
      <c r="R1264" s="2221"/>
      <c r="S1264" s="1748"/>
      <c r="T1264" s="679"/>
      <c r="U1264" s="53"/>
      <c r="V1264" s="53"/>
      <c r="W1264" s="53"/>
      <c r="X1264" s="119" t="e">
        <f>SUM(#REF!)</f>
        <v>#REF!</v>
      </c>
      <c r="Y1264" s="679"/>
      <c r="Z1264" s="679"/>
      <c r="AA1264" s="679"/>
      <c r="AB1264" s="679"/>
      <c r="AC1264" s="679"/>
      <c r="AD1264" s="143">
        <v>44040</v>
      </c>
      <c r="AE1264" s="121"/>
      <c r="AF1264" s="118"/>
      <c r="AG1264" s="119">
        <f t="shared" si="105"/>
        <v>44040</v>
      </c>
      <c r="AH1264" s="122" t="e">
        <f t="shared" si="103"/>
        <v>#REF!</v>
      </c>
    </row>
    <row r="1265" spans="8:34" hidden="1">
      <c r="H1265" s="2909"/>
      <c r="I1265" s="2909"/>
      <c r="J1265" s="2909"/>
      <c r="K1265" s="2909"/>
      <c r="L1265" s="2910"/>
      <c r="M1265" s="2910"/>
      <c r="N1265" s="2910"/>
      <c r="O1265" s="2910"/>
      <c r="P1265" s="2911"/>
      <c r="Q1265" s="1260"/>
      <c r="R1265" s="2216"/>
      <c r="S1265" s="1260"/>
      <c r="T1265" s="446"/>
      <c r="U1265" s="70"/>
      <c r="V1265" s="70"/>
      <c r="W1265" s="70"/>
      <c r="X1265" s="125" t="e">
        <f>SUM(#REF!)</f>
        <v>#REF!</v>
      </c>
      <c r="Y1265" s="446"/>
      <c r="Z1265" s="446"/>
      <c r="AA1265" s="446"/>
      <c r="AB1265" s="446"/>
      <c r="AC1265" s="446"/>
      <c r="AD1265" s="141">
        <v>14000</v>
      </c>
      <c r="AE1265" s="123"/>
      <c r="AF1265" s="124"/>
      <c r="AG1265" s="125">
        <f t="shared" si="105"/>
        <v>14000</v>
      </c>
      <c r="AH1265" s="122" t="e">
        <f t="shared" si="103"/>
        <v>#REF!</v>
      </c>
    </row>
    <row r="1266" spans="8:34" hidden="1">
      <c r="H1266" s="2909"/>
      <c r="I1266" s="2909"/>
      <c r="J1266" s="2909"/>
      <c r="K1266" s="2909"/>
      <c r="L1266" s="2910"/>
      <c r="M1266" s="2910"/>
      <c r="N1266" s="2910"/>
      <c r="O1266" s="2910"/>
      <c r="P1266" s="2911"/>
      <c r="Q1266" s="1260"/>
      <c r="R1266" s="2216"/>
      <c r="S1266" s="1260"/>
      <c r="T1266" s="446"/>
      <c r="U1266" s="70"/>
      <c r="V1266" s="70"/>
      <c r="W1266" s="70"/>
      <c r="X1266" s="125" t="e">
        <f>SUM(#REF!)</f>
        <v>#REF!</v>
      </c>
      <c r="Y1266" s="446"/>
      <c r="Z1266" s="446"/>
      <c r="AA1266" s="446"/>
      <c r="AB1266" s="446"/>
      <c r="AC1266" s="446"/>
      <c r="AD1266" s="141">
        <v>9000</v>
      </c>
      <c r="AE1266" s="123"/>
      <c r="AF1266" s="124"/>
      <c r="AG1266" s="125">
        <f t="shared" si="105"/>
        <v>9000</v>
      </c>
      <c r="AH1266" s="122" t="e">
        <f t="shared" si="103"/>
        <v>#REF!</v>
      </c>
    </row>
    <row r="1267" spans="8:34" hidden="1">
      <c r="H1267" s="2909"/>
      <c r="I1267" s="2909"/>
      <c r="J1267" s="2909"/>
      <c r="K1267" s="2909"/>
      <c r="L1267" s="2910"/>
      <c r="M1267" s="2910"/>
      <c r="N1267" s="2910"/>
      <c r="O1267" s="2910"/>
      <c r="P1267" s="2911"/>
      <c r="Q1267" s="1260"/>
      <c r="R1267" s="2216"/>
      <c r="S1267" s="1260"/>
      <c r="T1267" s="446"/>
      <c r="U1267" s="70"/>
      <c r="V1267" s="70"/>
      <c r="W1267" s="70"/>
      <c r="X1267" s="125" t="e">
        <f>SUM(#REF!)</f>
        <v>#REF!</v>
      </c>
      <c r="Y1267" s="446"/>
      <c r="Z1267" s="446"/>
      <c r="AA1267" s="446"/>
      <c r="AB1267" s="446"/>
      <c r="AC1267" s="446"/>
      <c r="AD1267" s="141">
        <v>1076310</v>
      </c>
      <c r="AE1267" s="123"/>
      <c r="AF1267" s="124"/>
      <c r="AG1267" s="125">
        <f t="shared" si="105"/>
        <v>1076310</v>
      </c>
      <c r="AH1267" s="122" t="e">
        <f t="shared" si="103"/>
        <v>#REF!</v>
      </c>
    </row>
    <row r="1268" spans="8:34" hidden="1">
      <c r="H1268" s="2909"/>
      <c r="I1268" s="2909"/>
      <c r="J1268" s="2909"/>
      <c r="K1268" s="2909"/>
      <c r="L1268" s="2910"/>
      <c r="M1268" s="2910"/>
      <c r="N1268" s="2910"/>
      <c r="O1268" s="2910"/>
      <c r="P1268" s="2911"/>
      <c r="Q1268" s="1260"/>
      <c r="R1268" s="2216"/>
      <c r="S1268" s="1260"/>
      <c r="T1268" s="446"/>
      <c r="U1268" s="70"/>
      <c r="V1268" s="70"/>
      <c r="W1268" s="70"/>
      <c r="X1268" s="125" t="e">
        <f>SUM(#REF!)</f>
        <v>#REF!</v>
      </c>
      <c r="Y1268" s="446"/>
      <c r="Z1268" s="446"/>
      <c r="AA1268" s="446"/>
      <c r="AB1268" s="446"/>
      <c r="AC1268" s="446"/>
      <c r="AD1268" s="141">
        <v>42000</v>
      </c>
      <c r="AE1268" s="123"/>
      <c r="AF1268" s="124"/>
      <c r="AG1268" s="125">
        <f t="shared" si="105"/>
        <v>42000</v>
      </c>
      <c r="AH1268" s="122" t="e">
        <f t="shared" ref="AH1268:AH1269" si="106">AG1268/X1268*100</f>
        <v>#REF!</v>
      </c>
    </row>
    <row r="1269" spans="8:34" hidden="1">
      <c r="H1269" s="2924"/>
      <c r="I1269" s="2924"/>
      <c r="J1269" s="2924"/>
      <c r="K1269" s="2924"/>
      <c r="L1269" s="2925"/>
      <c r="M1269" s="2925"/>
      <c r="N1269" s="2925"/>
      <c r="O1269" s="2925"/>
      <c r="P1269" s="2926"/>
      <c r="Q1269" s="1748"/>
      <c r="R1269" s="2221"/>
      <c r="S1269" s="1748"/>
      <c r="T1269" s="679"/>
      <c r="U1269" s="53"/>
      <c r="V1269" s="53"/>
      <c r="W1269" s="53"/>
      <c r="X1269" s="125" t="e">
        <f>SUM(#REF!)</f>
        <v>#REF!</v>
      </c>
      <c r="Y1269" s="446"/>
      <c r="Z1269" s="446"/>
      <c r="AA1269" s="446"/>
      <c r="AB1269" s="446"/>
      <c r="AC1269" s="446"/>
      <c r="AD1269" s="141">
        <v>135000</v>
      </c>
      <c r="AE1269" s="121"/>
      <c r="AF1269" s="118"/>
      <c r="AG1269" s="125">
        <f t="shared" si="105"/>
        <v>135000</v>
      </c>
      <c r="AH1269" s="122" t="e">
        <f t="shared" si="106"/>
        <v>#REF!</v>
      </c>
    </row>
    <row r="1270" spans="8:34" hidden="1">
      <c r="H1270" s="2909"/>
      <c r="I1270" s="2909"/>
      <c r="J1270" s="2909"/>
      <c r="K1270" s="2909"/>
      <c r="L1270" s="2910"/>
      <c r="M1270" s="2910"/>
      <c r="N1270" s="2910"/>
      <c r="O1270" s="2910"/>
      <c r="P1270" s="2911"/>
      <c r="Q1270" s="1260"/>
      <c r="R1270" s="2216"/>
      <c r="S1270" s="1260"/>
      <c r="T1270" s="446"/>
      <c r="U1270" s="70"/>
      <c r="V1270" s="70"/>
      <c r="W1270" s="70"/>
      <c r="X1270" s="125" t="e">
        <f>SUM(#REF!)</f>
        <v>#REF!</v>
      </c>
      <c r="Y1270" s="446"/>
      <c r="Z1270" s="446"/>
      <c r="AA1270" s="446"/>
      <c r="AB1270" s="446"/>
      <c r="AC1270" s="446"/>
      <c r="AD1270" s="141">
        <v>10000</v>
      </c>
      <c r="AE1270" s="123"/>
      <c r="AF1270" s="124"/>
      <c r="AG1270" s="125">
        <f t="shared" si="105"/>
        <v>10000</v>
      </c>
      <c r="AH1270" s="122"/>
    </row>
    <row r="1271" spans="8:34" hidden="1">
      <c r="H1271" s="2909"/>
      <c r="I1271" s="2909"/>
      <c r="J1271" s="2909"/>
      <c r="K1271" s="2909"/>
      <c r="L1271" s="2910"/>
      <c r="M1271" s="2910"/>
      <c r="N1271" s="2910"/>
      <c r="O1271" s="2910"/>
      <c r="P1271" s="2911"/>
      <c r="Q1271" s="1260"/>
      <c r="R1271" s="2216"/>
      <c r="S1271" s="1260"/>
      <c r="T1271" s="446"/>
      <c r="U1271" s="70"/>
      <c r="V1271" s="70"/>
      <c r="W1271" s="70"/>
      <c r="X1271" s="125" t="e">
        <f>SUM(#REF!)</f>
        <v>#REF!</v>
      </c>
      <c r="Y1271" s="446"/>
      <c r="Z1271" s="446"/>
      <c r="AA1271" s="446"/>
      <c r="AB1271" s="446"/>
      <c r="AC1271" s="446"/>
      <c r="AD1271" s="141">
        <v>0</v>
      </c>
      <c r="AE1271" s="123"/>
      <c r="AF1271" s="124"/>
      <c r="AG1271" s="125">
        <f t="shared" si="105"/>
        <v>0</v>
      </c>
      <c r="AH1271" s="122"/>
    </row>
    <row r="1272" spans="8:34" hidden="1">
      <c r="H1272" s="2909"/>
      <c r="I1272" s="2909"/>
      <c r="J1272" s="2909"/>
      <c r="K1272" s="2909"/>
      <c r="L1272" s="2910"/>
      <c r="M1272" s="2910"/>
      <c r="N1272" s="2910"/>
      <c r="O1272" s="2910"/>
      <c r="P1272" s="2911"/>
      <c r="Q1272" s="1260"/>
      <c r="R1272" s="2216"/>
      <c r="S1272" s="1260"/>
      <c r="T1272" s="446"/>
      <c r="U1272" s="70"/>
      <c r="V1272" s="70"/>
      <c r="W1272" s="70"/>
      <c r="X1272" s="145" t="e">
        <f>SUM(#REF!)</f>
        <v>#REF!</v>
      </c>
      <c r="Y1272" s="446"/>
      <c r="Z1272" s="446"/>
      <c r="AA1272" s="446"/>
      <c r="AB1272" s="446"/>
      <c r="AC1272" s="446"/>
      <c r="AD1272" s="146">
        <v>0</v>
      </c>
      <c r="AE1272" s="147"/>
      <c r="AF1272" s="144"/>
      <c r="AG1272" s="145">
        <f t="shared" si="105"/>
        <v>0</v>
      </c>
      <c r="AH1272" s="148"/>
    </row>
    <row r="1273" spans="8:34" hidden="1">
      <c r="H1273" s="2909"/>
      <c r="I1273" s="2909"/>
      <c r="J1273" s="2909"/>
      <c r="K1273" s="2909"/>
      <c r="L1273" s="2910"/>
      <c r="M1273" s="2910"/>
      <c r="N1273" s="2910"/>
      <c r="O1273" s="2910"/>
      <c r="P1273" s="2911"/>
      <c r="Q1273" s="1260"/>
      <c r="R1273" s="2216"/>
      <c r="S1273" s="1260"/>
      <c r="T1273" s="446"/>
      <c r="U1273" s="70"/>
      <c r="V1273" s="70"/>
      <c r="W1273" s="70"/>
      <c r="X1273" s="145" t="e">
        <f>SUM(#REF!)</f>
        <v>#REF!</v>
      </c>
      <c r="Y1273" s="446"/>
      <c r="Z1273" s="446"/>
      <c r="AA1273" s="446"/>
      <c r="AB1273" s="446"/>
      <c r="AC1273" s="446"/>
      <c r="AD1273" s="149"/>
      <c r="AE1273" s="147"/>
      <c r="AF1273" s="144"/>
      <c r="AG1273" s="145">
        <f t="shared" si="105"/>
        <v>0</v>
      </c>
      <c r="AH1273" s="148" t="e">
        <f t="shared" ref="AH1273:AH1280" si="107">AG1273/X1273*100</f>
        <v>#REF!</v>
      </c>
    </row>
    <row r="1274" spans="8:34" hidden="1">
      <c r="H1274" s="2909"/>
      <c r="I1274" s="2909"/>
      <c r="J1274" s="2909"/>
      <c r="K1274" s="2909"/>
      <c r="L1274" s="2910"/>
      <c r="M1274" s="2910"/>
      <c r="N1274" s="2910"/>
      <c r="O1274" s="2910"/>
      <c r="P1274" s="2911"/>
      <c r="Q1274" s="1260"/>
      <c r="R1274" s="2216"/>
      <c r="S1274" s="1260"/>
      <c r="T1274" s="446"/>
      <c r="U1274" s="70"/>
      <c r="V1274" s="70"/>
      <c r="W1274" s="70"/>
      <c r="X1274" s="145" t="e">
        <f>SUM(X1275:X1278)</f>
        <v>#REF!</v>
      </c>
      <c r="Y1274" s="446"/>
      <c r="Z1274" s="446"/>
      <c r="AA1274" s="446"/>
      <c r="AB1274" s="446"/>
      <c r="AC1274" s="446"/>
      <c r="AD1274" s="150">
        <f>SUM(AD1275:AD1278)</f>
        <v>50000</v>
      </c>
      <c r="AE1274" s="147">
        <f>SUM(AE1275:AE1277)</f>
        <v>0</v>
      </c>
      <c r="AF1274" s="144">
        <f>SUM(AF1275:AF1277)</f>
        <v>0</v>
      </c>
      <c r="AG1274" s="145">
        <f>SUM(AG1275:AG1278)</f>
        <v>50000</v>
      </c>
      <c r="AH1274" s="148" t="e">
        <f t="shared" si="107"/>
        <v>#REF!</v>
      </c>
    </row>
    <row r="1275" spans="8:34" hidden="1">
      <c r="H1275" s="2924"/>
      <c r="I1275" s="2924"/>
      <c r="J1275" s="2924"/>
      <c r="K1275" s="2924"/>
      <c r="L1275" s="2925"/>
      <c r="M1275" s="2925"/>
      <c r="N1275" s="2925"/>
      <c r="O1275" s="2925"/>
      <c r="P1275" s="2926"/>
      <c r="Q1275" s="1748"/>
      <c r="R1275" s="2221"/>
      <c r="S1275" s="1748"/>
      <c r="T1275" s="679"/>
      <c r="U1275" s="53"/>
      <c r="V1275" s="53"/>
      <c r="W1275" s="53"/>
      <c r="X1275" s="153" t="e">
        <f>SUM(#REF!)</f>
        <v>#REF!</v>
      </c>
      <c r="Y1275" s="679"/>
      <c r="Z1275" s="679"/>
      <c r="AA1275" s="679"/>
      <c r="AB1275" s="679"/>
      <c r="AC1275" s="679"/>
      <c r="AD1275" s="154">
        <v>3000</v>
      </c>
      <c r="AE1275" s="151"/>
      <c r="AF1275" s="152"/>
      <c r="AG1275" s="153">
        <f>SUM(AD1275:AF1275)</f>
        <v>3000</v>
      </c>
      <c r="AH1275" s="148" t="e">
        <f t="shared" si="107"/>
        <v>#REF!</v>
      </c>
    </row>
    <row r="1276" spans="8:34" hidden="1">
      <c r="H1276" s="2924"/>
      <c r="I1276" s="2924"/>
      <c r="J1276" s="2924"/>
      <c r="K1276" s="2924"/>
      <c r="L1276" s="2925"/>
      <c r="M1276" s="2925"/>
      <c r="N1276" s="2925"/>
      <c r="O1276" s="2925"/>
      <c r="P1276" s="2926"/>
      <c r="Q1276" s="1748"/>
      <c r="R1276" s="2221"/>
      <c r="S1276" s="1748"/>
      <c r="T1276" s="679"/>
      <c r="U1276" s="53"/>
      <c r="V1276" s="53"/>
      <c r="W1276" s="53"/>
      <c r="X1276" s="153" t="e">
        <f>SUM(#REF!)</f>
        <v>#REF!</v>
      </c>
      <c r="Y1276" s="679"/>
      <c r="Z1276" s="679"/>
      <c r="AA1276" s="679"/>
      <c r="AB1276" s="679"/>
      <c r="AC1276" s="679"/>
      <c r="AD1276" s="154">
        <v>3000</v>
      </c>
      <c r="AE1276" s="151"/>
      <c r="AF1276" s="152"/>
      <c r="AG1276" s="153">
        <f>SUM(AD1276:AF1276)</f>
        <v>3000</v>
      </c>
      <c r="AH1276" s="148" t="e">
        <f t="shared" si="107"/>
        <v>#REF!</v>
      </c>
    </row>
    <row r="1277" spans="8:34" hidden="1">
      <c r="H1277" s="2924"/>
      <c r="I1277" s="2924"/>
      <c r="J1277" s="2924"/>
      <c r="K1277" s="2924"/>
      <c r="L1277" s="2925"/>
      <c r="M1277" s="2925"/>
      <c r="N1277" s="2925"/>
      <c r="O1277" s="2925"/>
      <c r="P1277" s="2926"/>
      <c r="Q1277" s="1748"/>
      <c r="R1277" s="2221"/>
      <c r="S1277" s="1748"/>
      <c r="T1277" s="679"/>
      <c r="U1277" s="53"/>
      <c r="V1277" s="53"/>
      <c r="W1277" s="53"/>
      <c r="X1277" s="153" t="e">
        <f>SUM(#REF!)</f>
        <v>#REF!</v>
      </c>
      <c r="Y1277" s="679"/>
      <c r="Z1277" s="679"/>
      <c r="AA1277" s="679"/>
      <c r="AB1277" s="679"/>
      <c r="AC1277" s="679"/>
      <c r="AD1277" s="154">
        <v>20000</v>
      </c>
      <c r="AE1277" s="151"/>
      <c r="AF1277" s="152"/>
      <c r="AG1277" s="153">
        <f>SUM(AD1277:AF1277)</f>
        <v>20000</v>
      </c>
      <c r="AH1277" s="148" t="e">
        <f t="shared" si="107"/>
        <v>#REF!</v>
      </c>
    </row>
    <row r="1278" spans="8:34" hidden="1">
      <c r="H1278" s="2957"/>
      <c r="I1278" s="2957"/>
      <c r="J1278" s="2957"/>
      <c r="K1278" s="2957"/>
      <c r="L1278" s="2958"/>
      <c r="M1278" s="2958"/>
      <c r="N1278" s="2958"/>
      <c r="O1278" s="2958"/>
      <c r="P1278" s="2958"/>
      <c r="Q1278" s="1759"/>
      <c r="R1278" s="2229"/>
      <c r="S1278" s="1759"/>
      <c r="T1278" s="292"/>
      <c r="U1278" s="292"/>
      <c r="V1278" s="292"/>
      <c r="W1278" s="292"/>
      <c r="X1278" s="156" t="e">
        <f>SUM(#REF!)</f>
        <v>#REF!</v>
      </c>
      <c r="Y1278" s="685"/>
      <c r="Z1278" s="685"/>
      <c r="AA1278" s="685"/>
      <c r="AB1278" s="685"/>
      <c r="AC1278" s="685"/>
      <c r="AD1278" s="157">
        <v>24000</v>
      </c>
      <c r="AE1278" s="155"/>
      <c r="AF1278" s="158"/>
      <c r="AG1278" s="159">
        <f>SUM(AD1278:AF1278)</f>
        <v>24000</v>
      </c>
      <c r="AH1278" s="160" t="e">
        <f t="shared" si="107"/>
        <v>#REF!</v>
      </c>
    </row>
    <row r="1279" spans="8:34" hidden="1">
      <c r="H1279" s="2909"/>
      <c r="I1279" s="2909"/>
      <c r="J1279" s="2909"/>
      <c r="K1279" s="2909"/>
      <c r="L1279" s="2910"/>
      <c r="M1279" s="2910"/>
      <c r="N1279" s="2910"/>
      <c r="O1279" s="2910"/>
      <c r="P1279" s="2911"/>
      <c r="Q1279" s="1260"/>
      <c r="R1279" s="2216"/>
      <c r="S1279" s="1260"/>
      <c r="T1279" s="446"/>
      <c r="U1279" s="70"/>
      <c r="V1279" s="70"/>
      <c r="W1279" s="70"/>
      <c r="X1279" s="145" t="e">
        <f t="shared" ref="X1279:AG1279" si="108">SUM(X1280:X1283)</f>
        <v>#REF!</v>
      </c>
      <c r="Y1279" s="446"/>
      <c r="Z1279" s="446"/>
      <c r="AA1279" s="446"/>
      <c r="AB1279" s="446"/>
      <c r="AC1279" s="446"/>
      <c r="AD1279" s="150">
        <f t="shared" si="108"/>
        <v>280000</v>
      </c>
      <c r="AE1279" s="147">
        <f t="shared" si="108"/>
        <v>0</v>
      </c>
      <c r="AF1279" s="162">
        <f t="shared" si="108"/>
        <v>0</v>
      </c>
      <c r="AG1279" s="145">
        <f t="shared" si="108"/>
        <v>280000</v>
      </c>
      <c r="AH1279" s="160" t="e">
        <f t="shared" si="107"/>
        <v>#REF!</v>
      </c>
    </row>
    <row r="1280" spans="8:34" hidden="1">
      <c r="H1280" s="2924"/>
      <c r="I1280" s="2924"/>
      <c r="J1280" s="2924"/>
      <c r="K1280" s="2924"/>
      <c r="L1280" s="2925"/>
      <c r="M1280" s="2925"/>
      <c r="N1280" s="2925"/>
      <c r="O1280" s="2925"/>
      <c r="P1280" s="2926"/>
      <c r="Q1280" s="1748"/>
      <c r="R1280" s="2221"/>
      <c r="S1280" s="1748"/>
      <c r="T1280" s="679"/>
      <c r="U1280" s="53"/>
      <c r="V1280" s="53"/>
      <c r="W1280" s="53"/>
      <c r="X1280" s="153" t="e">
        <f>SUM(#REF!)</f>
        <v>#REF!</v>
      </c>
      <c r="Y1280" s="679"/>
      <c r="Z1280" s="679"/>
      <c r="AA1280" s="679"/>
      <c r="AB1280" s="679"/>
      <c r="AC1280" s="679"/>
      <c r="AD1280" s="154">
        <v>280000</v>
      </c>
      <c r="AE1280" s="151"/>
      <c r="AF1280" s="163"/>
      <c r="AG1280" s="153">
        <f>SUM(AD1280:AF1280)</f>
        <v>280000</v>
      </c>
      <c r="AH1280" s="160" t="e">
        <f t="shared" si="107"/>
        <v>#REF!</v>
      </c>
    </row>
    <row r="1281" spans="8:34" hidden="1">
      <c r="H1281" s="2924"/>
      <c r="I1281" s="2924"/>
      <c r="J1281" s="2924"/>
      <c r="K1281" s="2924"/>
      <c r="L1281" s="2925"/>
      <c r="M1281" s="2925"/>
      <c r="N1281" s="2925"/>
      <c r="O1281" s="2925"/>
      <c r="P1281" s="2926"/>
      <c r="Q1281" s="1748"/>
      <c r="R1281" s="2221"/>
      <c r="S1281" s="1748"/>
      <c r="T1281" s="679"/>
      <c r="U1281" s="53"/>
      <c r="V1281" s="53"/>
      <c r="W1281" s="53"/>
      <c r="X1281" s="153"/>
      <c r="Y1281" s="679"/>
      <c r="Z1281" s="679"/>
      <c r="AA1281" s="679"/>
      <c r="AB1281" s="679"/>
      <c r="AC1281" s="679"/>
      <c r="AD1281" s="154"/>
      <c r="AE1281" s="151"/>
      <c r="AF1281" s="163"/>
      <c r="AG1281" s="153">
        <f t="shared" ref="AG1281:AG1282" si="109">SUM(AD1281:AF1281)</f>
        <v>0</v>
      </c>
      <c r="AH1281" s="160"/>
    </row>
    <row r="1282" spans="8:34" hidden="1">
      <c r="H1282" s="2924"/>
      <c r="I1282" s="2924"/>
      <c r="J1282" s="2924"/>
      <c r="K1282" s="2924"/>
      <c r="L1282" s="2925"/>
      <c r="M1282" s="2925"/>
      <c r="N1282" s="2925"/>
      <c r="O1282" s="2925"/>
      <c r="P1282" s="2926"/>
      <c r="Q1282" s="1748"/>
      <c r="R1282" s="2221"/>
      <c r="S1282" s="1748"/>
      <c r="T1282" s="679"/>
      <c r="U1282" s="53"/>
      <c r="V1282" s="53"/>
      <c r="W1282" s="53"/>
      <c r="X1282" s="153" t="e">
        <f>SUM(#REF!)</f>
        <v>#REF!</v>
      </c>
      <c r="Y1282" s="679"/>
      <c r="Z1282" s="679"/>
      <c r="AA1282" s="679"/>
      <c r="AB1282" s="679"/>
      <c r="AC1282" s="679"/>
      <c r="AD1282" s="154"/>
      <c r="AE1282" s="151"/>
      <c r="AF1282" s="163"/>
      <c r="AG1282" s="153">
        <f t="shared" si="109"/>
        <v>0</v>
      </c>
      <c r="AH1282" s="160" t="e">
        <f>AG1282/X1282*100</f>
        <v>#REF!</v>
      </c>
    </row>
    <row r="1283" spans="8:34" hidden="1">
      <c r="H1283" s="2924"/>
      <c r="I1283" s="2924"/>
      <c r="J1283" s="2924"/>
      <c r="K1283" s="2924"/>
      <c r="L1283" s="2925"/>
      <c r="M1283" s="2925"/>
      <c r="N1283" s="2925"/>
      <c r="O1283" s="2925"/>
      <c r="P1283" s="2926"/>
      <c r="Q1283" s="1748"/>
      <c r="R1283" s="2221"/>
      <c r="S1283" s="1748"/>
      <c r="T1283" s="679"/>
      <c r="U1283" s="53"/>
      <c r="V1283" s="53"/>
      <c r="W1283" s="53"/>
      <c r="X1283" s="153" t="e">
        <f>SUM(#REF!)</f>
        <v>#REF!</v>
      </c>
      <c r="Y1283" s="679"/>
      <c r="Z1283" s="679"/>
      <c r="AA1283" s="679"/>
      <c r="AB1283" s="679"/>
      <c r="AC1283" s="679"/>
      <c r="AD1283" s="164"/>
      <c r="AE1283" s="151"/>
      <c r="AF1283" s="163"/>
      <c r="AG1283" s="153">
        <f>SUM(AD1283:AF1283)</f>
        <v>0</v>
      </c>
      <c r="AH1283" s="160"/>
    </row>
    <row r="1284" spans="8:34" hidden="1">
      <c r="H1284" s="2909"/>
      <c r="I1284" s="2909"/>
      <c r="J1284" s="2909"/>
      <c r="K1284" s="2909"/>
      <c r="L1284" s="2910"/>
      <c r="M1284" s="2910"/>
      <c r="N1284" s="2910"/>
      <c r="O1284" s="2910"/>
      <c r="P1284" s="2911"/>
      <c r="Q1284" s="1260"/>
      <c r="R1284" s="2216"/>
      <c r="S1284" s="1260"/>
      <c r="T1284" s="446"/>
      <c r="U1284" s="70"/>
      <c r="V1284" s="70"/>
      <c r="W1284" s="70"/>
      <c r="X1284" s="145" t="e">
        <f t="shared" ref="X1284:AG1284" si="110">SUM(X1285:X1287)</f>
        <v>#REF!</v>
      </c>
      <c r="Y1284" s="446"/>
      <c r="Z1284" s="446"/>
      <c r="AA1284" s="446"/>
      <c r="AB1284" s="446"/>
      <c r="AC1284" s="446"/>
      <c r="AD1284" s="150">
        <f t="shared" si="110"/>
        <v>705000</v>
      </c>
      <c r="AE1284" s="147">
        <f t="shared" si="110"/>
        <v>0</v>
      </c>
      <c r="AF1284" s="162">
        <f t="shared" si="110"/>
        <v>0</v>
      </c>
      <c r="AG1284" s="145">
        <f t="shared" si="110"/>
        <v>705000</v>
      </c>
      <c r="AH1284" s="160" t="e">
        <f>AG1284/X1284*100</f>
        <v>#REF!</v>
      </c>
    </row>
    <row r="1285" spans="8:34" hidden="1">
      <c r="H1285" s="2924"/>
      <c r="I1285" s="2924"/>
      <c r="J1285" s="2924"/>
      <c r="K1285" s="2924"/>
      <c r="L1285" s="2925"/>
      <c r="M1285" s="2925"/>
      <c r="N1285" s="2925"/>
      <c r="O1285" s="2925"/>
      <c r="P1285" s="2926"/>
      <c r="Q1285" s="1748"/>
      <c r="R1285" s="2221"/>
      <c r="S1285" s="1748"/>
      <c r="T1285" s="679"/>
      <c r="U1285" s="53"/>
      <c r="V1285" s="53"/>
      <c r="W1285" s="53"/>
      <c r="X1285" s="153" t="e">
        <f>SUM(#REF!)</f>
        <v>#REF!</v>
      </c>
      <c r="Y1285" s="679"/>
      <c r="Z1285" s="679"/>
      <c r="AA1285" s="679"/>
      <c r="AB1285" s="679"/>
      <c r="AC1285" s="679"/>
      <c r="AD1285" s="157">
        <v>700000</v>
      </c>
      <c r="AE1285" s="151"/>
      <c r="AF1285" s="163"/>
      <c r="AG1285" s="153">
        <f>SUM(AD1285:AF1285)</f>
        <v>700000</v>
      </c>
      <c r="AH1285" s="160" t="e">
        <f>AG1285/X1285*100</f>
        <v>#REF!</v>
      </c>
    </row>
    <row r="1286" spans="8:34" hidden="1">
      <c r="H1286" s="2924"/>
      <c r="I1286" s="2924"/>
      <c r="J1286" s="2924"/>
      <c r="K1286" s="2924"/>
      <c r="L1286" s="2925"/>
      <c r="M1286" s="2925"/>
      <c r="N1286" s="2925"/>
      <c r="O1286" s="2925"/>
      <c r="P1286" s="2926"/>
      <c r="Q1286" s="1748"/>
      <c r="R1286" s="2221"/>
      <c r="S1286" s="1748"/>
      <c r="T1286" s="679"/>
      <c r="U1286" s="53"/>
      <c r="V1286" s="53"/>
      <c r="W1286" s="53"/>
      <c r="X1286" s="153" t="e">
        <f>SUM(#REF!)</f>
        <v>#REF!</v>
      </c>
      <c r="Y1286" s="679"/>
      <c r="Z1286" s="679"/>
      <c r="AA1286" s="679"/>
      <c r="AB1286" s="679"/>
      <c r="AC1286" s="679"/>
      <c r="AD1286" s="157">
        <v>0</v>
      </c>
      <c r="AE1286" s="151"/>
      <c r="AF1286" s="163"/>
      <c r="AG1286" s="153">
        <f>SUM(AD1286:AF1286)</f>
        <v>0</v>
      </c>
      <c r="AH1286" s="160"/>
    </row>
    <row r="1287" spans="8:34" hidden="1">
      <c r="H1287" s="2924"/>
      <c r="I1287" s="2924"/>
      <c r="J1287" s="2924"/>
      <c r="K1287" s="2924"/>
      <c r="L1287" s="2925"/>
      <c r="M1287" s="2925"/>
      <c r="N1287" s="2925"/>
      <c r="O1287" s="2925"/>
      <c r="P1287" s="2926"/>
      <c r="Q1287" s="1748"/>
      <c r="R1287" s="2221"/>
      <c r="S1287" s="1748"/>
      <c r="T1287" s="679"/>
      <c r="U1287" s="53"/>
      <c r="V1287" s="53"/>
      <c r="W1287" s="53"/>
      <c r="X1287" s="153" t="e">
        <f>SUM(#REF!)</f>
        <v>#REF!</v>
      </c>
      <c r="Y1287" s="679"/>
      <c r="Z1287" s="679"/>
      <c r="AA1287" s="679"/>
      <c r="AB1287" s="679"/>
      <c r="AC1287" s="679"/>
      <c r="AD1287" s="157">
        <v>5000</v>
      </c>
      <c r="AE1287" s="151"/>
      <c r="AF1287" s="163"/>
      <c r="AG1287" s="153">
        <f>SUM(AD1287:AF1287)</f>
        <v>5000</v>
      </c>
      <c r="AH1287" s="160" t="e">
        <f t="shared" ref="AH1287:AH1321" si="111">AG1287/X1287*100</f>
        <v>#REF!</v>
      </c>
    </row>
    <row r="1288" spans="8:34" hidden="1">
      <c r="H1288" s="2909"/>
      <c r="I1288" s="2909"/>
      <c r="J1288" s="2909"/>
      <c r="K1288" s="2909"/>
      <c r="L1288" s="2910"/>
      <c r="M1288" s="2910"/>
      <c r="N1288" s="2910"/>
      <c r="O1288" s="2910"/>
      <c r="P1288" s="2911"/>
      <c r="Q1288" s="1260"/>
      <c r="R1288" s="2216"/>
      <c r="S1288" s="1260"/>
      <c r="T1288" s="446"/>
      <c r="U1288" s="70"/>
      <c r="V1288" s="70"/>
      <c r="W1288" s="70"/>
      <c r="X1288" s="145" t="e">
        <f>SUM(X1289,X1305:X1312,X1325:X1327,X1330,X1334:X1334,X1319,X1324)</f>
        <v>#REF!</v>
      </c>
      <c r="Y1288" s="446"/>
      <c r="Z1288" s="446"/>
      <c r="AA1288" s="446"/>
      <c r="AB1288" s="446"/>
      <c r="AC1288" s="446"/>
      <c r="AD1288" s="150">
        <f>SUM(AD1289,AD1305:AD1312,AD1325:AD1327,AD1330,AD1319,AD1324)</f>
        <v>3433130</v>
      </c>
      <c r="AE1288" s="147">
        <f>SUM(AE1289,AE1305:AE1312,AE1325:AE1327,AE1330,AE1319,AE1324)</f>
        <v>11000</v>
      </c>
      <c r="AF1288" s="162">
        <f>SUM(AF1289,AF1305:AF1312,AF1325:AF1327,AF1330,)</f>
        <v>0</v>
      </c>
      <c r="AG1288" s="145">
        <f>SUM(AG1289,AG1305:AG1312,AG1325:AG1327,AG1330,AG1334:AG1334,AG1319,AG1324)</f>
        <v>3444130</v>
      </c>
      <c r="AH1288" s="160" t="e">
        <f t="shared" si="111"/>
        <v>#REF!</v>
      </c>
    </row>
    <row r="1289" spans="8:34" hidden="1">
      <c r="H1289" s="2909"/>
      <c r="I1289" s="2909"/>
      <c r="J1289" s="2909"/>
      <c r="K1289" s="2909"/>
      <c r="L1289" s="2910"/>
      <c r="M1289" s="2910"/>
      <c r="N1289" s="2910"/>
      <c r="O1289" s="2910"/>
      <c r="P1289" s="2911"/>
      <c r="Q1289" s="1260"/>
      <c r="R1289" s="2216"/>
      <c r="S1289" s="1260"/>
      <c r="T1289" s="446"/>
      <c r="U1289" s="70"/>
      <c r="V1289" s="70"/>
      <c r="W1289" s="70"/>
      <c r="X1289" s="145" t="e">
        <f>SUM(X1290:X1304)</f>
        <v>#REF!</v>
      </c>
      <c r="Y1289" s="446"/>
      <c r="Z1289" s="446"/>
      <c r="AA1289" s="446"/>
      <c r="AB1289" s="446"/>
      <c r="AC1289" s="446"/>
      <c r="AD1289" s="150">
        <f>SUM(AD1290:AD1304)</f>
        <v>242690</v>
      </c>
      <c r="AE1289" s="147">
        <f>SUM(AE1290:AE1299)</f>
        <v>0</v>
      </c>
      <c r="AF1289" s="162">
        <f>SUM(AF1290:AF1299)</f>
        <v>0</v>
      </c>
      <c r="AG1289" s="145">
        <f>SUM(AG1290:AG1304)</f>
        <v>242690</v>
      </c>
      <c r="AH1289" s="160" t="e">
        <f t="shared" si="111"/>
        <v>#REF!</v>
      </c>
    </row>
    <row r="1290" spans="8:34" hidden="1">
      <c r="H1290" s="2924"/>
      <c r="I1290" s="2924"/>
      <c r="J1290" s="2924"/>
      <c r="K1290" s="2924"/>
      <c r="L1290" s="2925"/>
      <c r="M1290" s="2925"/>
      <c r="N1290" s="2925"/>
      <c r="O1290" s="2925"/>
      <c r="P1290" s="2926"/>
      <c r="Q1290" s="1748"/>
      <c r="R1290" s="2221"/>
      <c r="S1290" s="1748"/>
      <c r="T1290" s="679"/>
      <c r="U1290" s="53"/>
      <c r="V1290" s="53"/>
      <c r="W1290" s="53"/>
      <c r="X1290" s="153" t="e">
        <f>SUM(#REF!)</f>
        <v>#REF!</v>
      </c>
      <c r="Y1290" s="679"/>
      <c r="Z1290" s="679"/>
      <c r="AA1290" s="679"/>
      <c r="AB1290" s="679"/>
      <c r="AC1290" s="679"/>
      <c r="AD1290" s="165">
        <v>110690</v>
      </c>
      <c r="AE1290" s="151"/>
      <c r="AF1290" s="163"/>
      <c r="AG1290" s="153">
        <f t="shared" ref="AG1290:AG1311" si="112">SUM(AD1290:AF1290)</f>
        <v>110690</v>
      </c>
      <c r="AH1290" s="160" t="e">
        <f t="shared" si="111"/>
        <v>#REF!</v>
      </c>
    </row>
    <row r="1291" spans="8:34" hidden="1">
      <c r="H1291" s="2924"/>
      <c r="I1291" s="2924"/>
      <c r="J1291" s="2924"/>
      <c r="K1291" s="2924"/>
      <c r="L1291" s="2925"/>
      <c r="M1291" s="2925"/>
      <c r="N1291" s="2925"/>
      <c r="O1291" s="2925"/>
      <c r="P1291" s="2926"/>
      <c r="Q1291" s="1748"/>
      <c r="R1291" s="2221"/>
      <c r="S1291" s="1748"/>
      <c r="T1291" s="679"/>
      <c r="U1291" s="53"/>
      <c r="V1291" s="53"/>
      <c r="W1291" s="53"/>
      <c r="X1291" s="153" t="e">
        <f>SUM(#REF!)</f>
        <v>#REF!</v>
      </c>
      <c r="Y1291" s="679"/>
      <c r="Z1291" s="679"/>
      <c r="AA1291" s="679"/>
      <c r="AB1291" s="679"/>
      <c r="AC1291" s="679"/>
      <c r="AD1291" s="165">
        <v>5000</v>
      </c>
      <c r="AE1291" s="151"/>
      <c r="AF1291" s="163"/>
      <c r="AG1291" s="153">
        <f t="shared" si="112"/>
        <v>5000</v>
      </c>
      <c r="AH1291" s="160" t="e">
        <f t="shared" si="111"/>
        <v>#REF!</v>
      </c>
    </row>
    <row r="1292" spans="8:34" hidden="1">
      <c r="H1292" s="2924"/>
      <c r="I1292" s="2924"/>
      <c r="J1292" s="2924"/>
      <c r="K1292" s="2924"/>
      <c r="L1292" s="2925"/>
      <c r="M1292" s="2925"/>
      <c r="N1292" s="2925"/>
      <c r="O1292" s="2925"/>
      <c r="P1292" s="2926"/>
      <c r="Q1292" s="1748"/>
      <c r="R1292" s="2221"/>
      <c r="S1292" s="1748"/>
      <c r="T1292" s="679"/>
      <c r="U1292" s="53"/>
      <c r="V1292" s="53"/>
      <c r="W1292" s="53"/>
      <c r="X1292" s="153" t="e">
        <f>SUM(#REF!)</f>
        <v>#REF!</v>
      </c>
      <c r="Y1292" s="679"/>
      <c r="Z1292" s="679"/>
      <c r="AA1292" s="679"/>
      <c r="AB1292" s="679"/>
      <c r="AC1292" s="679"/>
      <c r="AD1292" s="165">
        <v>5000</v>
      </c>
      <c r="AE1292" s="151"/>
      <c r="AF1292" s="163"/>
      <c r="AG1292" s="153">
        <f t="shared" si="112"/>
        <v>5000</v>
      </c>
      <c r="AH1292" s="160" t="e">
        <f t="shared" si="111"/>
        <v>#REF!</v>
      </c>
    </row>
    <row r="1293" spans="8:34" hidden="1">
      <c r="H1293" s="2924"/>
      <c r="I1293" s="2924"/>
      <c r="J1293" s="2924"/>
      <c r="K1293" s="2924"/>
      <c r="L1293" s="2925"/>
      <c r="M1293" s="2925"/>
      <c r="N1293" s="2925"/>
      <c r="O1293" s="2925"/>
      <c r="P1293" s="2926"/>
      <c r="Q1293" s="1748"/>
      <c r="R1293" s="2221"/>
      <c r="S1293" s="1748"/>
      <c r="T1293" s="679"/>
      <c r="U1293" s="53"/>
      <c r="V1293" s="53"/>
      <c r="W1293" s="53"/>
      <c r="X1293" s="153" t="e">
        <f>SUM(#REF!)</f>
        <v>#REF!</v>
      </c>
      <c r="Y1293" s="679"/>
      <c r="Z1293" s="679"/>
      <c r="AA1293" s="679"/>
      <c r="AB1293" s="679"/>
      <c r="AC1293" s="679"/>
      <c r="AD1293" s="165">
        <v>5000</v>
      </c>
      <c r="AE1293" s="151"/>
      <c r="AF1293" s="163"/>
      <c r="AG1293" s="153">
        <f t="shared" si="112"/>
        <v>5000</v>
      </c>
      <c r="AH1293" s="160" t="e">
        <f t="shared" si="111"/>
        <v>#REF!</v>
      </c>
    </row>
    <row r="1294" spans="8:34" hidden="1">
      <c r="H1294" s="2924"/>
      <c r="I1294" s="2924"/>
      <c r="J1294" s="2924"/>
      <c r="K1294" s="2924"/>
      <c r="L1294" s="2925"/>
      <c r="M1294" s="2925"/>
      <c r="N1294" s="2925"/>
      <c r="O1294" s="2925"/>
      <c r="P1294" s="2926"/>
      <c r="Q1294" s="1748"/>
      <c r="R1294" s="2221"/>
      <c r="S1294" s="1748"/>
      <c r="T1294" s="679"/>
      <c r="U1294" s="53"/>
      <c r="V1294" s="53"/>
      <c r="W1294" s="53"/>
      <c r="X1294" s="153" t="e">
        <f>SUM(#REF!)</f>
        <v>#REF!</v>
      </c>
      <c r="Y1294" s="679"/>
      <c r="Z1294" s="679"/>
      <c r="AA1294" s="679"/>
      <c r="AB1294" s="679"/>
      <c r="AC1294" s="679"/>
      <c r="AD1294" s="165">
        <v>20000</v>
      </c>
      <c r="AE1294" s="151"/>
      <c r="AF1294" s="163"/>
      <c r="AG1294" s="153">
        <f t="shared" si="112"/>
        <v>20000</v>
      </c>
      <c r="AH1294" s="160" t="e">
        <f t="shared" si="111"/>
        <v>#REF!</v>
      </c>
    </row>
    <row r="1295" spans="8:34" hidden="1">
      <c r="H1295" s="2924"/>
      <c r="I1295" s="2924"/>
      <c r="J1295" s="2924"/>
      <c r="K1295" s="2924"/>
      <c r="L1295" s="2925"/>
      <c r="M1295" s="2925"/>
      <c r="N1295" s="2925"/>
      <c r="O1295" s="2925"/>
      <c r="P1295" s="2926"/>
      <c r="Q1295" s="1748"/>
      <c r="R1295" s="2221"/>
      <c r="S1295" s="1748"/>
      <c r="T1295" s="679"/>
      <c r="U1295" s="53"/>
      <c r="V1295" s="53"/>
      <c r="W1295" s="53"/>
      <c r="X1295" s="153" t="e">
        <f>SUM(#REF!)</f>
        <v>#REF!</v>
      </c>
      <c r="Y1295" s="679"/>
      <c r="Z1295" s="679"/>
      <c r="AA1295" s="679"/>
      <c r="AB1295" s="679"/>
      <c r="AC1295" s="679"/>
      <c r="AD1295" s="165">
        <v>4000</v>
      </c>
      <c r="AE1295" s="151"/>
      <c r="AF1295" s="163"/>
      <c r="AG1295" s="153">
        <f t="shared" si="112"/>
        <v>4000</v>
      </c>
      <c r="AH1295" s="160" t="e">
        <f t="shared" si="111"/>
        <v>#REF!</v>
      </c>
    </row>
    <row r="1296" spans="8:34" hidden="1">
      <c r="H1296" s="2924"/>
      <c r="I1296" s="2924"/>
      <c r="J1296" s="2924"/>
      <c r="K1296" s="2924"/>
      <c r="L1296" s="2925"/>
      <c r="M1296" s="2925"/>
      <c r="N1296" s="2925"/>
      <c r="O1296" s="2925"/>
      <c r="P1296" s="2926"/>
      <c r="Q1296" s="1748"/>
      <c r="R1296" s="2221"/>
      <c r="S1296" s="1748"/>
      <c r="T1296" s="679"/>
      <c r="U1296" s="53"/>
      <c r="V1296" s="53"/>
      <c r="W1296" s="53"/>
      <c r="X1296" s="153" t="e">
        <f>SUM(#REF!)</f>
        <v>#REF!</v>
      </c>
      <c r="Y1296" s="679"/>
      <c r="Z1296" s="679"/>
      <c r="AA1296" s="679"/>
      <c r="AB1296" s="679"/>
      <c r="AC1296" s="679"/>
      <c r="AD1296" s="165">
        <v>4000</v>
      </c>
      <c r="AE1296" s="151"/>
      <c r="AF1296" s="163"/>
      <c r="AG1296" s="153">
        <f t="shared" si="112"/>
        <v>4000</v>
      </c>
      <c r="AH1296" s="160" t="e">
        <f t="shared" si="111"/>
        <v>#REF!</v>
      </c>
    </row>
    <row r="1297" spans="8:34" hidden="1">
      <c r="H1297" s="2924"/>
      <c r="I1297" s="2924"/>
      <c r="J1297" s="2924"/>
      <c r="K1297" s="2924"/>
      <c r="L1297" s="2925"/>
      <c r="M1297" s="2925"/>
      <c r="N1297" s="2925"/>
      <c r="O1297" s="2925"/>
      <c r="P1297" s="2926"/>
      <c r="Q1297" s="1748"/>
      <c r="R1297" s="2221"/>
      <c r="S1297" s="1748"/>
      <c r="T1297" s="679"/>
      <c r="U1297" s="53"/>
      <c r="V1297" s="53"/>
      <c r="W1297" s="53"/>
      <c r="X1297" s="153" t="e">
        <f>SUM(#REF!)</f>
        <v>#REF!</v>
      </c>
      <c r="Y1297" s="679"/>
      <c r="Z1297" s="679"/>
      <c r="AA1297" s="679"/>
      <c r="AB1297" s="679"/>
      <c r="AC1297" s="679"/>
      <c r="AD1297" s="165">
        <v>3000</v>
      </c>
      <c r="AE1297" s="151"/>
      <c r="AF1297" s="163"/>
      <c r="AG1297" s="153">
        <f t="shared" si="112"/>
        <v>3000</v>
      </c>
      <c r="AH1297" s="160" t="e">
        <f t="shared" si="111"/>
        <v>#REF!</v>
      </c>
    </row>
    <row r="1298" spans="8:34" hidden="1">
      <c r="H1298" s="2924"/>
      <c r="I1298" s="2924"/>
      <c r="J1298" s="2924"/>
      <c r="K1298" s="2924"/>
      <c r="L1298" s="2925"/>
      <c r="M1298" s="2925"/>
      <c r="N1298" s="2925"/>
      <c r="O1298" s="2925"/>
      <c r="P1298" s="2926"/>
      <c r="Q1298" s="1748"/>
      <c r="R1298" s="2221"/>
      <c r="S1298" s="1748"/>
      <c r="T1298" s="679"/>
      <c r="U1298" s="53"/>
      <c r="V1298" s="53"/>
      <c r="W1298" s="53"/>
      <c r="X1298" s="153" t="e">
        <f>SUM(#REF!)</f>
        <v>#REF!</v>
      </c>
      <c r="Y1298" s="679"/>
      <c r="Z1298" s="679"/>
      <c r="AA1298" s="679"/>
      <c r="AB1298" s="679"/>
      <c r="AC1298" s="679"/>
      <c r="AD1298" s="165">
        <v>3000</v>
      </c>
      <c r="AE1298" s="151"/>
      <c r="AF1298" s="163"/>
      <c r="AG1298" s="153">
        <f t="shared" si="112"/>
        <v>3000</v>
      </c>
      <c r="AH1298" s="160" t="e">
        <f t="shared" si="111"/>
        <v>#REF!</v>
      </c>
    </row>
    <row r="1299" spans="8:34" hidden="1">
      <c r="H1299" s="2924"/>
      <c r="I1299" s="2924"/>
      <c r="J1299" s="2924"/>
      <c r="K1299" s="2924"/>
      <c r="L1299" s="2925"/>
      <c r="M1299" s="2925"/>
      <c r="N1299" s="2925"/>
      <c r="O1299" s="2925"/>
      <c r="P1299" s="2926"/>
      <c r="Q1299" s="1748"/>
      <c r="R1299" s="2221"/>
      <c r="S1299" s="1748"/>
      <c r="T1299" s="679"/>
      <c r="U1299" s="53"/>
      <c r="V1299" s="53"/>
      <c r="W1299" s="53"/>
      <c r="X1299" s="153" t="e">
        <f>SUM(#REF!)</f>
        <v>#REF!</v>
      </c>
      <c r="Y1299" s="679"/>
      <c r="Z1299" s="679"/>
      <c r="AA1299" s="679"/>
      <c r="AB1299" s="679"/>
      <c r="AC1299" s="679"/>
      <c r="AD1299" s="165">
        <v>4000</v>
      </c>
      <c r="AE1299" s="151"/>
      <c r="AF1299" s="163"/>
      <c r="AG1299" s="153">
        <f t="shared" si="112"/>
        <v>4000</v>
      </c>
      <c r="AH1299" s="160" t="e">
        <f t="shared" si="111"/>
        <v>#REF!</v>
      </c>
    </row>
    <row r="1300" spans="8:34" hidden="1">
      <c r="H1300" s="2924"/>
      <c r="I1300" s="2924"/>
      <c r="J1300" s="2924"/>
      <c r="K1300" s="2924"/>
      <c r="L1300" s="2925"/>
      <c r="M1300" s="2925"/>
      <c r="N1300" s="2925"/>
      <c r="O1300" s="2925"/>
      <c r="P1300" s="2926"/>
      <c r="Q1300" s="1748"/>
      <c r="R1300" s="2221"/>
      <c r="S1300" s="1748"/>
      <c r="T1300" s="679"/>
      <c r="U1300" s="53"/>
      <c r="V1300" s="53"/>
      <c r="W1300" s="53"/>
      <c r="X1300" s="153" t="e">
        <f>SUM(#REF!)</f>
        <v>#REF!</v>
      </c>
      <c r="Y1300" s="679"/>
      <c r="Z1300" s="679"/>
      <c r="AA1300" s="679"/>
      <c r="AB1300" s="679"/>
      <c r="AC1300" s="679"/>
      <c r="AD1300" s="165">
        <v>4000</v>
      </c>
      <c r="AE1300" s="151"/>
      <c r="AF1300" s="163"/>
      <c r="AG1300" s="153">
        <f t="shared" si="112"/>
        <v>4000</v>
      </c>
      <c r="AH1300" s="160" t="e">
        <f t="shared" si="111"/>
        <v>#REF!</v>
      </c>
    </row>
    <row r="1301" spans="8:34" hidden="1">
      <c r="H1301" s="2924"/>
      <c r="I1301" s="2924"/>
      <c r="J1301" s="2924"/>
      <c r="K1301" s="2924"/>
      <c r="L1301" s="2925"/>
      <c r="M1301" s="2925"/>
      <c r="N1301" s="2925"/>
      <c r="O1301" s="2925"/>
      <c r="P1301" s="2926"/>
      <c r="Q1301" s="1748"/>
      <c r="R1301" s="2221"/>
      <c r="S1301" s="1748"/>
      <c r="T1301" s="679"/>
      <c r="U1301" s="53"/>
      <c r="V1301" s="53"/>
      <c r="W1301" s="53"/>
      <c r="X1301" s="153" t="e">
        <f>SUM(#REF!)</f>
        <v>#REF!</v>
      </c>
      <c r="Y1301" s="679"/>
      <c r="Z1301" s="679"/>
      <c r="AA1301" s="679"/>
      <c r="AB1301" s="679"/>
      <c r="AC1301" s="679"/>
      <c r="AD1301" s="165">
        <v>20000</v>
      </c>
      <c r="AE1301" s="151"/>
      <c r="AF1301" s="163"/>
      <c r="AG1301" s="153">
        <f t="shared" si="112"/>
        <v>20000</v>
      </c>
      <c r="AH1301" s="160" t="e">
        <f t="shared" si="111"/>
        <v>#REF!</v>
      </c>
    </row>
    <row r="1302" spans="8:34" hidden="1">
      <c r="H1302" s="2924"/>
      <c r="I1302" s="2924"/>
      <c r="J1302" s="2924"/>
      <c r="K1302" s="2924"/>
      <c r="L1302" s="2925"/>
      <c r="M1302" s="2925"/>
      <c r="N1302" s="2925"/>
      <c r="O1302" s="2925"/>
      <c r="P1302" s="2926"/>
      <c r="Q1302" s="1748"/>
      <c r="R1302" s="2221"/>
      <c r="S1302" s="1748"/>
      <c r="T1302" s="679"/>
      <c r="U1302" s="53"/>
      <c r="V1302" s="53"/>
      <c r="W1302" s="53"/>
      <c r="X1302" s="153" t="e">
        <f>SUM(#REF!)</f>
        <v>#REF!</v>
      </c>
      <c r="Y1302" s="679"/>
      <c r="Z1302" s="679"/>
      <c r="AA1302" s="679"/>
      <c r="AB1302" s="679"/>
      <c r="AC1302" s="679"/>
      <c r="AD1302" s="165">
        <v>25000</v>
      </c>
      <c r="AE1302" s="151"/>
      <c r="AF1302" s="163"/>
      <c r="AG1302" s="153">
        <f t="shared" si="112"/>
        <v>25000</v>
      </c>
      <c r="AH1302" s="160" t="e">
        <f t="shared" si="111"/>
        <v>#REF!</v>
      </c>
    </row>
    <row r="1303" spans="8:34" hidden="1">
      <c r="H1303" s="2924"/>
      <c r="I1303" s="2924"/>
      <c r="J1303" s="2924"/>
      <c r="K1303" s="2924"/>
      <c r="L1303" s="2925"/>
      <c r="M1303" s="2925"/>
      <c r="N1303" s="2925"/>
      <c r="O1303" s="2925"/>
      <c r="P1303" s="2926"/>
      <c r="Q1303" s="1748"/>
      <c r="R1303" s="2221"/>
      <c r="S1303" s="1748"/>
      <c r="T1303" s="679"/>
      <c r="U1303" s="53"/>
      <c r="V1303" s="53"/>
      <c r="W1303" s="53"/>
      <c r="X1303" s="153" t="e">
        <f>SUM(#REF!)</f>
        <v>#REF!</v>
      </c>
      <c r="Y1303" s="679"/>
      <c r="Z1303" s="679"/>
      <c r="AA1303" s="679"/>
      <c r="AB1303" s="679"/>
      <c r="AC1303" s="679"/>
      <c r="AD1303" s="165">
        <v>10000</v>
      </c>
      <c r="AE1303" s="151"/>
      <c r="AF1303" s="163"/>
      <c r="AG1303" s="153">
        <f t="shared" si="112"/>
        <v>10000</v>
      </c>
      <c r="AH1303" s="160" t="e">
        <f t="shared" si="111"/>
        <v>#REF!</v>
      </c>
    </row>
    <row r="1304" spans="8:34" hidden="1">
      <c r="H1304" s="2924"/>
      <c r="I1304" s="2924"/>
      <c r="J1304" s="2924"/>
      <c r="K1304" s="2924"/>
      <c r="L1304" s="2925"/>
      <c r="M1304" s="2925"/>
      <c r="N1304" s="2925"/>
      <c r="O1304" s="2925"/>
      <c r="P1304" s="2926"/>
      <c r="Q1304" s="1748"/>
      <c r="R1304" s="2221"/>
      <c r="S1304" s="1748"/>
      <c r="T1304" s="679"/>
      <c r="U1304" s="53"/>
      <c r="V1304" s="53"/>
      <c r="W1304" s="53"/>
      <c r="X1304" s="153" t="e">
        <f>SUM(#REF!)</f>
        <v>#REF!</v>
      </c>
      <c r="Y1304" s="679"/>
      <c r="Z1304" s="679"/>
      <c r="AA1304" s="679"/>
      <c r="AB1304" s="679"/>
      <c r="AC1304" s="679"/>
      <c r="AD1304" s="165">
        <v>20000</v>
      </c>
      <c r="AE1304" s="151"/>
      <c r="AF1304" s="163"/>
      <c r="AG1304" s="153">
        <f t="shared" si="112"/>
        <v>20000</v>
      </c>
      <c r="AH1304" s="160" t="e">
        <f t="shared" si="111"/>
        <v>#REF!</v>
      </c>
    </row>
    <row r="1305" spans="8:34" hidden="1">
      <c r="H1305" s="2909"/>
      <c r="I1305" s="2909"/>
      <c r="J1305" s="2909"/>
      <c r="K1305" s="2909"/>
      <c r="L1305" s="2910"/>
      <c r="M1305" s="2910"/>
      <c r="N1305" s="2910"/>
      <c r="O1305" s="2910"/>
      <c r="P1305" s="2911"/>
      <c r="Q1305" s="1260"/>
      <c r="R1305" s="2216"/>
      <c r="S1305" s="1260"/>
      <c r="T1305" s="446"/>
      <c r="U1305" s="70"/>
      <c r="V1305" s="70"/>
      <c r="W1305" s="70"/>
      <c r="X1305" s="145" t="e">
        <f>SUM(#REF!)</f>
        <v>#REF!</v>
      </c>
      <c r="Y1305" s="446"/>
      <c r="Z1305" s="446"/>
      <c r="AA1305" s="446"/>
      <c r="AB1305" s="446"/>
      <c r="AC1305" s="446"/>
      <c r="AD1305" s="150"/>
      <c r="AE1305" s="147">
        <v>5500</v>
      </c>
      <c r="AF1305" s="162"/>
      <c r="AG1305" s="145">
        <f t="shared" si="112"/>
        <v>5500</v>
      </c>
      <c r="AH1305" s="160" t="e">
        <f t="shared" si="111"/>
        <v>#REF!</v>
      </c>
    </row>
    <row r="1306" spans="8:34" hidden="1">
      <c r="H1306" s="2909"/>
      <c r="I1306" s="2909"/>
      <c r="J1306" s="2909"/>
      <c r="K1306" s="2909"/>
      <c r="L1306" s="2910"/>
      <c r="M1306" s="2910"/>
      <c r="N1306" s="2910"/>
      <c r="O1306" s="2910"/>
      <c r="P1306" s="2911"/>
      <c r="Q1306" s="1260"/>
      <c r="R1306" s="2216"/>
      <c r="S1306" s="1260"/>
      <c r="T1306" s="446"/>
      <c r="U1306" s="70"/>
      <c r="V1306" s="70"/>
      <c r="W1306" s="70"/>
      <c r="X1306" s="145" t="e">
        <f>SUM(#REF!)</f>
        <v>#REF!</v>
      </c>
      <c r="Y1306" s="446"/>
      <c r="Z1306" s="446"/>
      <c r="AA1306" s="446"/>
      <c r="AB1306" s="446"/>
      <c r="AC1306" s="446"/>
      <c r="AD1306" s="150"/>
      <c r="AE1306" s="147"/>
      <c r="AF1306" s="162"/>
      <c r="AG1306" s="145">
        <f t="shared" si="112"/>
        <v>0</v>
      </c>
      <c r="AH1306" s="160" t="e">
        <f t="shared" si="111"/>
        <v>#REF!</v>
      </c>
    </row>
    <row r="1307" spans="8:34" hidden="1">
      <c r="H1307" s="2909"/>
      <c r="I1307" s="2909"/>
      <c r="J1307" s="2909"/>
      <c r="K1307" s="2909"/>
      <c r="L1307" s="2910"/>
      <c r="M1307" s="2910"/>
      <c r="N1307" s="2910"/>
      <c r="O1307" s="2910"/>
      <c r="P1307" s="2911"/>
      <c r="Q1307" s="1260"/>
      <c r="R1307" s="2216"/>
      <c r="S1307" s="1260"/>
      <c r="T1307" s="446"/>
      <c r="U1307" s="70"/>
      <c r="V1307" s="70"/>
      <c r="W1307" s="70"/>
      <c r="X1307" s="145" t="e">
        <f>SUM(#REF!)</f>
        <v>#REF!</v>
      </c>
      <c r="Y1307" s="446"/>
      <c r="Z1307" s="446"/>
      <c r="AA1307" s="446"/>
      <c r="AB1307" s="446"/>
      <c r="AC1307" s="446"/>
      <c r="AD1307" s="150"/>
      <c r="AE1307" s="147">
        <v>5500</v>
      </c>
      <c r="AF1307" s="162"/>
      <c r="AG1307" s="145">
        <f t="shared" si="112"/>
        <v>5500</v>
      </c>
      <c r="AH1307" s="160" t="e">
        <f t="shared" si="111"/>
        <v>#REF!</v>
      </c>
    </row>
    <row r="1308" spans="8:34" hidden="1">
      <c r="H1308" s="2909"/>
      <c r="I1308" s="2909"/>
      <c r="J1308" s="2909"/>
      <c r="K1308" s="2909"/>
      <c r="L1308" s="2910"/>
      <c r="M1308" s="2910"/>
      <c r="N1308" s="2910"/>
      <c r="O1308" s="2910"/>
      <c r="P1308" s="2911"/>
      <c r="Q1308" s="1260"/>
      <c r="R1308" s="2216"/>
      <c r="S1308" s="1260"/>
      <c r="T1308" s="446"/>
      <c r="U1308" s="70"/>
      <c r="V1308" s="70"/>
      <c r="W1308" s="70"/>
      <c r="X1308" s="145" t="e">
        <f>SUM(#REF!)</f>
        <v>#REF!</v>
      </c>
      <c r="Y1308" s="446"/>
      <c r="Z1308" s="446"/>
      <c r="AA1308" s="446"/>
      <c r="AB1308" s="446"/>
      <c r="AC1308" s="446"/>
      <c r="AD1308" s="150"/>
      <c r="AE1308" s="147"/>
      <c r="AF1308" s="162"/>
      <c r="AG1308" s="145">
        <f t="shared" si="112"/>
        <v>0</v>
      </c>
      <c r="AH1308" s="160" t="e">
        <f t="shared" si="111"/>
        <v>#REF!</v>
      </c>
    </row>
    <row r="1309" spans="8:34" hidden="1">
      <c r="H1309" s="2909"/>
      <c r="I1309" s="2909"/>
      <c r="J1309" s="2909"/>
      <c r="K1309" s="2909"/>
      <c r="L1309" s="2910"/>
      <c r="M1309" s="2910"/>
      <c r="N1309" s="2910"/>
      <c r="O1309" s="2910"/>
      <c r="P1309" s="2911"/>
      <c r="Q1309" s="1260"/>
      <c r="R1309" s="2216"/>
      <c r="S1309" s="1260"/>
      <c r="T1309" s="446"/>
      <c r="U1309" s="70"/>
      <c r="V1309" s="70"/>
      <c r="W1309" s="70"/>
      <c r="X1309" s="145" t="e">
        <f>SUM(#REF!)</f>
        <v>#REF!</v>
      </c>
      <c r="Y1309" s="446"/>
      <c r="Z1309" s="446"/>
      <c r="AA1309" s="446"/>
      <c r="AB1309" s="446"/>
      <c r="AC1309" s="446"/>
      <c r="AD1309" s="150"/>
      <c r="AE1309" s="147"/>
      <c r="AF1309" s="162"/>
      <c r="AG1309" s="145">
        <f t="shared" si="112"/>
        <v>0</v>
      </c>
      <c r="AH1309" s="160" t="e">
        <f t="shared" si="111"/>
        <v>#REF!</v>
      </c>
    </row>
    <row r="1310" spans="8:34" hidden="1">
      <c r="H1310" s="2909"/>
      <c r="I1310" s="2909"/>
      <c r="J1310" s="2909"/>
      <c r="K1310" s="2909"/>
      <c r="L1310" s="2910"/>
      <c r="M1310" s="2910"/>
      <c r="N1310" s="2910"/>
      <c r="O1310" s="2910"/>
      <c r="P1310" s="2911"/>
      <c r="Q1310" s="1260"/>
      <c r="R1310" s="2216"/>
      <c r="S1310" s="1260"/>
      <c r="T1310" s="446"/>
      <c r="U1310" s="70"/>
      <c r="V1310" s="70"/>
      <c r="W1310" s="70"/>
      <c r="X1310" s="145" t="e">
        <f>SUM(#REF!)</f>
        <v>#REF!</v>
      </c>
      <c r="Y1310" s="446"/>
      <c r="Z1310" s="446"/>
      <c r="AA1310" s="446"/>
      <c r="AB1310" s="446"/>
      <c r="AC1310" s="446"/>
      <c r="AD1310" s="150"/>
      <c r="AE1310" s="147"/>
      <c r="AF1310" s="162"/>
      <c r="AG1310" s="145">
        <f t="shared" si="112"/>
        <v>0</v>
      </c>
      <c r="AH1310" s="160" t="e">
        <f t="shared" si="111"/>
        <v>#REF!</v>
      </c>
    </row>
    <row r="1311" spans="8:34" hidden="1">
      <c r="H1311" s="2909"/>
      <c r="I1311" s="2909"/>
      <c r="J1311" s="2909"/>
      <c r="K1311" s="2909"/>
      <c r="L1311" s="2910"/>
      <c r="M1311" s="2910"/>
      <c r="N1311" s="2910"/>
      <c r="O1311" s="2910"/>
      <c r="P1311" s="2911"/>
      <c r="Q1311" s="1260"/>
      <c r="R1311" s="2216"/>
      <c r="S1311" s="1260"/>
      <c r="T1311" s="446"/>
      <c r="U1311" s="70"/>
      <c r="V1311" s="70"/>
      <c r="W1311" s="70"/>
      <c r="X1311" s="145" t="e">
        <f>SUM(#REF!)</f>
        <v>#REF!</v>
      </c>
      <c r="Y1311" s="446"/>
      <c r="Z1311" s="446"/>
      <c r="AA1311" s="446"/>
      <c r="AB1311" s="446"/>
      <c r="AC1311" s="446"/>
      <c r="AD1311" s="150"/>
      <c r="AE1311" s="147"/>
      <c r="AF1311" s="162"/>
      <c r="AG1311" s="145">
        <f t="shared" si="112"/>
        <v>0</v>
      </c>
      <c r="AH1311" s="160" t="e">
        <f t="shared" si="111"/>
        <v>#REF!</v>
      </c>
    </row>
    <row r="1312" spans="8:34" hidden="1">
      <c r="H1312" s="2909"/>
      <c r="I1312" s="2909"/>
      <c r="J1312" s="2909"/>
      <c r="K1312" s="2909"/>
      <c r="L1312" s="2910"/>
      <c r="M1312" s="2910"/>
      <c r="N1312" s="2910"/>
      <c r="O1312" s="2910"/>
      <c r="P1312" s="2911"/>
      <c r="Q1312" s="1260"/>
      <c r="R1312" s="2216"/>
      <c r="S1312" s="1260"/>
      <c r="T1312" s="446"/>
      <c r="U1312" s="70"/>
      <c r="V1312" s="70"/>
      <c r="W1312" s="70"/>
      <c r="X1312" s="145" t="e">
        <f t="shared" ref="X1312:AG1312" si="113">SUM(X1313:X1318)</f>
        <v>#REF!</v>
      </c>
      <c r="Y1312" s="446"/>
      <c r="Z1312" s="446"/>
      <c r="AA1312" s="446"/>
      <c r="AB1312" s="446"/>
      <c r="AC1312" s="446"/>
      <c r="AD1312" s="150">
        <f>SUM(AD1313:AD1318)</f>
        <v>1412140</v>
      </c>
      <c r="AE1312" s="147">
        <f t="shared" si="113"/>
        <v>0</v>
      </c>
      <c r="AF1312" s="162">
        <f t="shared" si="113"/>
        <v>0</v>
      </c>
      <c r="AG1312" s="145">
        <f t="shared" si="113"/>
        <v>1412140</v>
      </c>
      <c r="AH1312" s="160" t="e">
        <f t="shared" si="111"/>
        <v>#REF!</v>
      </c>
    </row>
    <row r="1313" spans="8:34" hidden="1">
      <c r="H1313" s="2924"/>
      <c r="I1313" s="2924"/>
      <c r="J1313" s="2924"/>
      <c r="K1313" s="2924"/>
      <c r="L1313" s="2925"/>
      <c r="M1313" s="2925"/>
      <c r="N1313" s="2925"/>
      <c r="O1313" s="2925"/>
      <c r="P1313" s="2926"/>
      <c r="Q1313" s="1748"/>
      <c r="R1313" s="2221"/>
      <c r="S1313" s="1748"/>
      <c r="T1313" s="679"/>
      <c r="U1313" s="53"/>
      <c r="V1313" s="53"/>
      <c r="W1313" s="53"/>
      <c r="X1313" s="153" t="e">
        <f>SUM(#REF!)</f>
        <v>#REF!</v>
      </c>
      <c r="Y1313" s="679"/>
      <c r="Z1313" s="679"/>
      <c r="AA1313" s="679"/>
      <c r="AB1313" s="679"/>
      <c r="AC1313" s="679"/>
      <c r="AD1313" s="165">
        <v>467300</v>
      </c>
      <c r="AE1313" s="151"/>
      <c r="AF1313" s="163"/>
      <c r="AG1313" s="153">
        <f t="shared" ref="AG1313:AG1320" si="114">SUM(AD1313:AF1313)</f>
        <v>467300</v>
      </c>
      <c r="AH1313" s="160" t="e">
        <f t="shared" si="111"/>
        <v>#REF!</v>
      </c>
    </row>
    <row r="1314" spans="8:34" hidden="1">
      <c r="H1314" s="2924"/>
      <c r="I1314" s="2924"/>
      <c r="J1314" s="2924"/>
      <c r="K1314" s="2924"/>
      <c r="L1314" s="2925"/>
      <c r="M1314" s="2925"/>
      <c r="N1314" s="2925"/>
      <c r="O1314" s="2925"/>
      <c r="P1314" s="2926"/>
      <c r="Q1314" s="1748"/>
      <c r="R1314" s="2221"/>
      <c r="S1314" s="1748"/>
      <c r="T1314" s="679"/>
      <c r="U1314" s="53"/>
      <c r="V1314" s="53"/>
      <c r="W1314" s="53"/>
      <c r="X1314" s="153" t="e">
        <f>SUM(#REF!)</f>
        <v>#REF!</v>
      </c>
      <c r="Y1314" s="679"/>
      <c r="Z1314" s="679"/>
      <c r="AA1314" s="679"/>
      <c r="AB1314" s="679"/>
      <c r="AC1314" s="679"/>
      <c r="AD1314" s="165">
        <v>237090</v>
      </c>
      <c r="AE1314" s="151"/>
      <c r="AF1314" s="163"/>
      <c r="AG1314" s="153">
        <f t="shared" si="114"/>
        <v>237090</v>
      </c>
      <c r="AH1314" s="160" t="e">
        <f t="shared" si="111"/>
        <v>#REF!</v>
      </c>
    </row>
    <row r="1315" spans="8:34" hidden="1">
      <c r="H1315" s="2924"/>
      <c r="I1315" s="2924"/>
      <c r="J1315" s="2924"/>
      <c r="K1315" s="2924"/>
      <c r="L1315" s="2925"/>
      <c r="M1315" s="2925"/>
      <c r="N1315" s="2925"/>
      <c r="O1315" s="2925"/>
      <c r="P1315" s="2926"/>
      <c r="Q1315" s="1748"/>
      <c r="R1315" s="2221"/>
      <c r="S1315" s="1748"/>
      <c r="T1315" s="679"/>
      <c r="U1315" s="53"/>
      <c r="V1315" s="53"/>
      <c r="W1315" s="53"/>
      <c r="X1315" s="153" t="e">
        <f>SUM(#REF!)</f>
        <v>#REF!</v>
      </c>
      <c r="Y1315" s="679"/>
      <c r="Z1315" s="679"/>
      <c r="AA1315" s="679"/>
      <c r="AB1315" s="679"/>
      <c r="AC1315" s="679"/>
      <c r="AD1315" s="165">
        <v>110600</v>
      </c>
      <c r="AE1315" s="151"/>
      <c r="AF1315" s="163"/>
      <c r="AG1315" s="153">
        <f t="shared" si="114"/>
        <v>110600</v>
      </c>
      <c r="AH1315" s="160" t="e">
        <f t="shared" si="111"/>
        <v>#REF!</v>
      </c>
    </row>
    <row r="1316" spans="8:34" hidden="1">
      <c r="H1316" s="2924"/>
      <c r="I1316" s="2924"/>
      <c r="J1316" s="2924"/>
      <c r="K1316" s="2924"/>
      <c r="L1316" s="2925"/>
      <c r="M1316" s="2925"/>
      <c r="N1316" s="2925"/>
      <c r="O1316" s="2925"/>
      <c r="P1316" s="2926"/>
      <c r="Q1316" s="1748"/>
      <c r="R1316" s="2221"/>
      <c r="S1316" s="1748"/>
      <c r="T1316" s="679"/>
      <c r="U1316" s="53"/>
      <c r="V1316" s="53"/>
      <c r="W1316" s="53"/>
      <c r="X1316" s="153" t="e">
        <f>SUM(#REF!)</f>
        <v>#REF!</v>
      </c>
      <c r="Y1316" s="679"/>
      <c r="Z1316" s="679"/>
      <c r="AA1316" s="679"/>
      <c r="AB1316" s="679"/>
      <c r="AC1316" s="679"/>
      <c r="AD1316" s="165">
        <v>460150</v>
      </c>
      <c r="AE1316" s="151"/>
      <c r="AF1316" s="163"/>
      <c r="AG1316" s="153">
        <f t="shared" si="114"/>
        <v>460150</v>
      </c>
      <c r="AH1316" s="160" t="e">
        <f t="shared" si="111"/>
        <v>#REF!</v>
      </c>
    </row>
    <row r="1317" spans="8:34" hidden="1">
      <c r="H1317" s="2924"/>
      <c r="I1317" s="2924"/>
      <c r="J1317" s="2924"/>
      <c r="K1317" s="2924"/>
      <c r="L1317" s="2925"/>
      <c r="M1317" s="2925"/>
      <c r="N1317" s="2925"/>
      <c r="O1317" s="2925"/>
      <c r="P1317" s="2926"/>
      <c r="Q1317" s="1748"/>
      <c r="R1317" s="2221"/>
      <c r="S1317" s="1748"/>
      <c r="T1317" s="679"/>
      <c r="U1317" s="53"/>
      <c r="V1317" s="53"/>
      <c r="W1317" s="53"/>
      <c r="X1317" s="153" t="e">
        <f>SUM(#REF!)</f>
        <v>#REF!</v>
      </c>
      <c r="Y1317" s="679"/>
      <c r="Z1317" s="679"/>
      <c r="AA1317" s="679"/>
      <c r="AB1317" s="679"/>
      <c r="AC1317" s="679"/>
      <c r="AD1317" s="165">
        <v>125000</v>
      </c>
      <c r="AE1317" s="151"/>
      <c r="AF1317" s="163"/>
      <c r="AG1317" s="153">
        <f t="shared" si="114"/>
        <v>125000</v>
      </c>
      <c r="AH1317" s="160" t="e">
        <f t="shared" si="111"/>
        <v>#REF!</v>
      </c>
    </row>
    <row r="1318" spans="8:34" hidden="1">
      <c r="H1318" s="2924"/>
      <c r="I1318" s="2924"/>
      <c r="J1318" s="2924"/>
      <c r="K1318" s="2924"/>
      <c r="L1318" s="2925"/>
      <c r="M1318" s="2925"/>
      <c r="N1318" s="2925"/>
      <c r="O1318" s="2925"/>
      <c r="P1318" s="2926"/>
      <c r="Q1318" s="1748"/>
      <c r="R1318" s="2221"/>
      <c r="S1318" s="1748"/>
      <c r="T1318" s="679"/>
      <c r="U1318" s="53"/>
      <c r="V1318" s="53"/>
      <c r="W1318" s="53"/>
      <c r="X1318" s="153" t="e">
        <f>SUM(#REF!)</f>
        <v>#REF!</v>
      </c>
      <c r="Y1318" s="679"/>
      <c r="Z1318" s="679"/>
      <c r="AA1318" s="679"/>
      <c r="AB1318" s="679"/>
      <c r="AC1318" s="679"/>
      <c r="AD1318" s="165">
        <v>12000</v>
      </c>
      <c r="AE1318" s="151"/>
      <c r="AF1318" s="163"/>
      <c r="AG1318" s="153">
        <f t="shared" si="114"/>
        <v>12000</v>
      </c>
      <c r="AH1318" s="160" t="e">
        <f t="shared" si="111"/>
        <v>#REF!</v>
      </c>
    </row>
    <row r="1319" spans="8:34" hidden="1">
      <c r="H1319" s="2909"/>
      <c r="I1319" s="2909"/>
      <c r="J1319" s="2909"/>
      <c r="K1319" s="2909"/>
      <c r="L1319" s="2910"/>
      <c r="M1319" s="2910"/>
      <c r="N1319" s="2910"/>
      <c r="O1319" s="2910"/>
      <c r="P1319" s="2911"/>
      <c r="Q1319" s="1260"/>
      <c r="R1319" s="2216"/>
      <c r="S1319" s="1260"/>
      <c r="T1319" s="446"/>
      <c r="U1319" s="70"/>
      <c r="V1319" s="70"/>
      <c r="W1319" s="70"/>
      <c r="X1319" s="145" t="e">
        <f>SUM(#REF!)</f>
        <v>#REF!</v>
      </c>
      <c r="Y1319" s="446"/>
      <c r="Z1319" s="446"/>
      <c r="AA1319" s="446"/>
      <c r="AB1319" s="446"/>
      <c r="AC1319" s="446"/>
      <c r="AD1319" s="149">
        <f>SUM(AD1320:AD1322)</f>
        <v>1298300</v>
      </c>
      <c r="AE1319" s="147"/>
      <c r="AF1319" s="162"/>
      <c r="AG1319" s="145">
        <f t="shared" si="114"/>
        <v>1298300</v>
      </c>
      <c r="AH1319" s="160" t="e">
        <f t="shared" si="111"/>
        <v>#REF!</v>
      </c>
    </row>
    <row r="1320" spans="8:34" hidden="1">
      <c r="H1320" s="2924"/>
      <c r="I1320" s="2924"/>
      <c r="J1320" s="2924"/>
      <c r="K1320" s="2924"/>
      <c r="L1320" s="2925"/>
      <c r="M1320" s="2925"/>
      <c r="N1320" s="2925"/>
      <c r="O1320" s="2925"/>
      <c r="P1320" s="2926"/>
      <c r="Q1320" s="1748"/>
      <c r="R1320" s="2221"/>
      <c r="S1320" s="1748"/>
      <c r="T1320" s="679"/>
      <c r="U1320" s="53"/>
      <c r="V1320" s="53"/>
      <c r="W1320" s="53"/>
      <c r="X1320" s="153" t="e">
        <f>SUM(#REF!)</f>
        <v>#REF!</v>
      </c>
      <c r="Y1320" s="679"/>
      <c r="Z1320" s="679"/>
      <c r="AA1320" s="679"/>
      <c r="AB1320" s="679"/>
      <c r="AC1320" s="679"/>
      <c r="AD1320" s="165">
        <v>1138300</v>
      </c>
      <c r="AE1320" s="151"/>
      <c r="AF1320" s="163"/>
      <c r="AG1320" s="153">
        <f t="shared" si="114"/>
        <v>1138300</v>
      </c>
      <c r="AH1320" s="160" t="e">
        <f t="shared" si="111"/>
        <v>#REF!</v>
      </c>
    </row>
    <row r="1321" spans="8:34" hidden="1">
      <c r="H1321" s="2924"/>
      <c r="I1321" s="2924"/>
      <c r="J1321" s="2924"/>
      <c r="K1321" s="2924"/>
      <c r="L1321" s="2925"/>
      <c r="M1321" s="2925"/>
      <c r="N1321" s="2925"/>
      <c r="O1321" s="2925"/>
      <c r="P1321" s="2926"/>
      <c r="Q1321" s="1748"/>
      <c r="R1321" s="2221"/>
      <c r="S1321" s="1748"/>
      <c r="T1321" s="679"/>
      <c r="U1321" s="53"/>
      <c r="V1321" s="53"/>
      <c r="W1321" s="53"/>
      <c r="X1321" s="153" t="e">
        <f>SUM(#REF!)</f>
        <v>#REF!</v>
      </c>
      <c r="Y1321" s="679"/>
      <c r="Z1321" s="679"/>
      <c r="AA1321" s="679"/>
      <c r="AB1321" s="679"/>
      <c r="AC1321" s="679"/>
      <c r="AD1321" s="165">
        <v>160000</v>
      </c>
      <c r="AE1321" s="151"/>
      <c r="AF1321" s="163"/>
      <c r="AG1321" s="153">
        <f>SUM(AD1321:AF1321)</f>
        <v>160000</v>
      </c>
      <c r="AH1321" s="160" t="e">
        <f t="shared" si="111"/>
        <v>#REF!</v>
      </c>
    </row>
    <row r="1322" spans="8:34" hidden="1">
      <c r="H1322" s="2924"/>
      <c r="I1322" s="2924"/>
      <c r="J1322" s="2924"/>
      <c r="K1322" s="2924"/>
      <c r="L1322" s="2925"/>
      <c r="M1322" s="2925"/>
      <c r="N1322" s="2925"/>
      <c r="O1322" s="2925"/>
      <c r="P1322" s="2926"/>
      <c r="Q1322" s="1748"/>
      <c r="R1322" s="2221"/>
      <c r="S1322" s="1748"/>
      <c r="T1322" s="679"/>
      <c r="U1322" s="53"/>
      <c r="V1322" s="53"/>
      <c r="W1322" s="53"/>
      <c r="X1322" s="153"/>
      <c r="Y1322" s="679"/>
      <c r="Z1322" s="679"/>
      <c r="AA1322" s="679"/>
      <c r="AB1322" s="679"/>
      <c r="AC1322" s="679"/>
      <c r="AD1322" s="165"/>
      <c r="AE1322" s="151"/>
      <c r="AF1322" s="163"/>
      <c r="AG1322" s="153"/>
      <c r="AH1322" s="160"/>
    </row>
    <row r="1323" spans="8:34" hidden="1">
      <c r="H1323" s="2924"/>
      <c r="I1323" s="2924"/>
      <c r="J1323" s="2924"/>
      <c r="K1323" s="2924"/>
      <c r="L1323" s="2925"/>
      <c r="M1323" s="2925"/>
      <c r="N1323" s="2925"/>
      <c r="O1323" s="2925"/>
      <c r="P1323" s="2926"/>
      <c r="Q1323" s="1748"/>
      <c r="R1323" s="2221"/>
      <c r="S1323" s="1748"/>
      <c r="T1323" s="679"/>
      <c r="U1323" s="53"/>
      <c r="V1323" s="53"/>
      <c r="W1323" s="53"/>
      <c r="X1323" s="153"/>
      <c r="Y1323" s="679"/>
      <c r="Z1323" s="679"/>
      <c r="AA1323" s="679"/>
      <c r="AB1323" s="679"/>
      <c r="AC1323" s="679"/>
      <c r="AD1323" s="166"/>
      <c r="AE1323" s="151"/>
      <c r="AF1323" s="163"/>
      <c r="AG1323" s="153"/>
      <c r="AH1323" s="160"/>
    </row>
    <row r="1324" spans="8:34" hidden="1">
      <c r="H1324" s="2959"/>
      <c r="I1324" s="2959"/>
      <c r="J1324" s="2959"/>
      <c r="K1324" s="2959"/>
      <c r="L1324" s="2960"/>
      <c r="M1324" s="2960"/>
      <c r="N1324" s="2960"/>
      <c r="O1324" s="2960"/>
      <c r="P1324" s="2961"/>
      <c r="Q1324" s="2199"/>
      <c r="R1324" s="2230"/>
      <c r="S1324" s="2199"/>
      <c r="T1324" s="1154"/>
      <c r="U1324" s="974"/>
      <c r="V1324" s="974"/>
      <c r="W1324" s="974"/>
      <c r="X1324" s="145" t="e">
        <f>SUM(#REF!)</f>
        <v>#REF!</v>
      </c>
      <c r="Y1324" s="446"/>
      <c r="Z1324" s="446"/>
      <c r="AA1324" s="446"/>
      <c r="AB1324" s="446"/>
      <c r="AC1324" s="446"/>
      <c r="AD1324" s="168"/>
      <c r="AE1324" s="147"/>
      <c r="AF1324" s="167"/>
      <c r="AG1324" s="145">
        <f>SUM(AD1324:AF1324)</f>
        <v>0</v>
      </c>
      <c r="AH1324" s="160" t="e">
        <f t="shared" ref="AH1324:AH1352" si="115">AG1324/X1324*100</f>
        <v>#REF!</v>
      </c>
    </row>
    <row r="1325" spans="8:34" hidden="1">
      <c r="H1325" s="2924"/>
      <c r="I1325" s="2924"/>
      <c r="J1325" s="2924"/>
      <c r="K1325" s="2924"/>
      <c r="L1325" s="2925"/>
      <c r="M1325" s="2925"/>
      <c r="N1325" s="2925"/>
      <c r="O1325" s="2925"/>
      <c r="P1325" s="2926"/>
      <c r="Q1325" s="1748"/>
      <c r="R1325" s="2221"/>
      <c r="S1325" s="1748"/>
      <c r="T1325" s="679"/>
      <c r="U1325" s="53"/>
      <c r="V1325" s="53"/>
      <c r="W1325" s="53"/>
      <c r="X1325" s="145" t="e">
        <f>SUM(#REF!)</f>
        <v>#REF!</v>
      </c>
      <c r="Y1325" s="446"/>
      <c r="Z1325" s="446"/>
      <c r="AA1325" s="446"/>
      <c r="AB1325" s="446"/>
      <c r="AC1325" s="446"/>
      <c r="AD1325" s="169">
        <v>40000</v>
      </c>
      <c r="AE1325" s="151"/>
      <c r="AF1325" s="163"/>
      <c r="AG1325" s="145">
        <f>SUM(AD1325:AF1325)</f>
        <v>40000</v>
      </c>
      <c r="AH1325" s="160" t="e">
        <f t="shared" si="115"/>
        <v>#REF!</v>
      </c>
    </row>
    <row r="1326" spans="8:34" hidden="1">
      <c r="H1326" s="2924"/>
      <c r="I1326" s="2924"/>
      <c r="J1326" s="2924"/>
      <c r="K1326" s="2924"/>
      <c r="L1326" s="2925"/>
      <c r="M1326" s="2925"/>
      <c r="N1326" s="2925"/>
      <c r="O1326" s="2925"/>
      <c r="P1326" s="2926"/>
      <c r="Q1326" s="1748"/>
      <c r="R1326" s="2221"/>
      <c r="S1326" s="1748"/>
      <c r="T1326" s="679"/>
      <c r="U1326" s="53"/>
      <c r="V1326" s="53"/>
      <c r="W1326" s="53"/>
      <c r="X1326" s="145" t="e">
        <f>SUM(#REF!)</f>
        <v>#REF!</v>
      </c>
      <c r="Y1326" s="446"/>
      <c r="Z1326" s="446"/>
      <c r="AA1326" s="446"/>
      <c r="AB1326" s="446"/>
      <c r="AC1326" s="446"/>
      <c r="AD1326" s="170">
        <v>20000</v>
      </c>
      <c r="AE1326" s="151"/>
      <c r="AF1326" s="163"/>
      <c r="AG1326" s="145">
        <f>SUM(AD1326:AF1326)</f>
        <v>20000</v>
      </c>
      <c r="AH1326" s="160" t="e">
        <f t="shared" si="115"/>
        <v>#REF!</v>
      </c>
    </row>
    <row r="1327" spans="8:34" hidden="1">
      <c r="H1327" s="2909"/>
      <c r="I1327" s="2909"/>
      <c r="J1327" s="2909"/>
      <c r="K1327" s="2909"/>
      <c r="L1327" s="2910"/>
      <c r="M1327" s="2910"/>
      <c r="N1327" s="2910"/>
      <c r="O1327" s="2910"/>
      <c r="P1327" s="2911"/>
      <c r="Q1327" s="1260"/>
      <c r="R1327" s="2216"/>
      <c r="S1327" s="1260"/>
      <c r="T1327" s="446"/>
      <c r="U1327" s="70"/>
      <c r="V1327" s="70"/>
      <c r="W1327" s="70"/>
      <c r="X1327" s="145" t="e">
        <f>SUM(X1328:X1329)</f>
        <v>#REF!</v>
      </c>
      <c r="Y1327" s="446"/>
      <c r="Z1327" s="446"/>
      <c r="AA1327" s="446"/>
      <c r="AB1327" s="446"/>
      <c r="AC1327" s="446"/>
      <c r="AD1327" s="149">
        <f>SUM(AD1328:AD1329)</f>
        <v>380000</v>
      </c>
      <c r="AE1327" s="147"/>
      <c r="AF1327" s="162"/>
      <c r="AG1327" s="145">
        <f>SUM(AG1328:AG1329)</f>
        <v>380000</v>
      </c>
      <c r="AH1327" s="160" t="e">
        <f t="shared" si="115"/>
        <v>#REF!</v>
      </c>
    </row>
    <row r="1328" spans="8:34" hidden="1">
      <c r="H1328" s="2924"/>
      <c r="I1328" s="2924"/>
      <c r="J1328" s="2924"/>
      <c r="K1328" s="2924"/>
      <c r="L1328" s="2925"/>
      <c r="M1328" s="2925"/>
      <c r="N1328" s="2925"/>
      <c r="O1328" s="2925"/>
      <c r="P1328" s="2926"/>
      <c r="Q1328" s="1748"/>
      <c r="R1328" s="2221"/>
      <c r="S1328" s="1748"/>
      <c r="T1328" s="679"/>
      <c r="U1328" s="53"/>
      <c r="V1328" s="53"/>
      <c r="W1328" s="53"/>
      <c r="X1328" s="153" t="e">
        <f>SUM(#REF!)</f>
        <v>#REF!</v>
      </c>
      <c r="Y1328" s="679"/>
      <c r="Z1328" s="679"/>
      <c r="AA1328" s="679"/>
      <c r="AB1328" s="679"/>
      <c r="AC1328" s="679"/>
      <c r="AD1328" s="154">
        <v>40000</v>
      </c>
      <c r="AE1328" s="151"/>
      <c r="AF1328" s="163"/>
      <c r="AG1328" s="153">
        <f>SUM(AD1328:AF1328)</f>
        <v>40000</v>
      </c>
      <c r="AH1328" s="160" t="e">
        <f t="shared" si="115"/>
        <v>#REF!</v>
      </c>
    </row>
    <row r="1329" spans="8:34" hidden="1">
      <c r="H1329" s="2924"/>
      <c r="I1329" s="2924"/>
      <c r="J1329" s="2924"/>
      <c r="K1329" s="2924"/>
      <c r="L1329" s="2925"/>
      <c r="M1329" s="2925"/>
      <c r="N1329" s="2925"/>
      <c r="O1329" s="2925"/>
      <c r="P1329" s="2926"/>
      <c r="Q1329" s="1748"/>
      <c r="R1329" s="2221"/>
      <c r="S1329" s="1748"/>
      <c r="T1329" s="679"/>
      <c r="U1329" s="53"/>
      <c r="V1329" s="53"/>
      <c r="W1329" s="53"/>
      <c r="X1329" s="153" t="e">
        <f>SUM(#REF!)</f>
        <v>#REF!</v>
      </c>
      <c r="Y1329" s="679"/>
      <c r="Z1329" s="679"/>
      <c r="AA1329" s="679"/>
      <c r="AB1329" s="679"/>
      <c r="AC1329" s="679"/>
      <c r="AD1329" s="171">
        <v>340000</v>
      </c>
      <c r="AE1329" s="151"/>
      <c r="AF1329" s="163"/>
      <c r="AG1329" s="153">
        <f>SUM(AD1329:AF1329)</f>
        <v>340000</v>
      </c>
      <c r="AH1329" s="160" t="e">
        <f t="shared" si="115"/>
        <v>#REF!</v>
      </c>
    </row>
    <row r="1330" spans="8:34" hidden="1">
      <c r="H1330" s="2924"/>
      <c r="I1330" s="2924"/>
      <c r="J1330" s="2924"/>
      <c r="K1330" s="2924"/>
      <c r="L1330" s="2925"/>
      <c r="M1330" s="2925"/>
      <c r="N1330" s="2925"/>
      <c r="O1330" s="2925"/>
      <c r="P1330" s="2926"/>
      <c r="Q1330" s="1748"/>
      <c r="R1330" s="2221"/>
      <c r="S1330" s="1748"/>
      <c r="T1330" s="679"/>
      <c r="U1330" s="53"/>
      <c r="V1330" s="53"/>
      <c r="W1330" s="53"/>
      <c r="X1330" s="145" t="e">
        <f>SUM(X1331:X1333)</f>
        <v>#REF!</v>
      </c>
      <c r="Y1330" s="446"/>
      <c r="Z1330" s="446"/>
      <c r="AA1330" s="446"/>
      <c r="AB1330" s="446"/>
      <c r="AC1330" s="446"/>
      <c r="AD1330" s="149">
        <f>SUM(AD1331:AD1333)</f>
        <v>40000</v>
      </c>
      <c r="AE1330" s="151"/>
      <c r="AF1330" s="163"/>
      <c r="AG1330" s="145">
        <f>SUM(AG1331:AG1333)</f>
        <v>40000</v>
      </c>
      <c r="AH1330" s="160" t="e">
        <f t="shared" si="115"/>
        <v>#REF!</v>
      </c>
    </row>
    <row r="1331" spans="8:34" hidden="1">
      <c r="H1331" s="2924"/>
      <c r="I1331" s="2924"/>
      <c r="J1331" s="2924"/>
      <c r="K1331" s="2924"/>
      <c r="L1331" s="2925"/>
      <c r="M1331" s="2925"/>
      <c r="N1331" s="2925"/>
      <c r="O1331" s="2925"/>
      <c r="P1331" s="2926"/>
      <c r="Q1331" s="1748"/>
      <c r="R1331" s="2221"/>
      <c r="S1331" s="1748"/>
      <c r="T1331" s="679"/>
      <c r="U1331" s="53"/>
      <c r="V1331" s="53"/>
      <c r="W1331" s="53"/>
      <c r="X1331" s="153" t="e">
        <f>SUM(#REF!)</f>
        <v>#REF!</v>
      </c>
      <c r="Y1331" s="679"/>
      <c r="Z1331" s="679"/>
      <c r="AA1331" s="679"/>
      <c r="AB1331" s="679"/>
      <c r="AC1331" s="679"/>
      <c r="AD1331" s="154">
        <v>15000</v>
      </c>
      <c r="AE1331" s="151"/>
      <c r="AF1331" s="163"/>
      <c r="AG1331" s="153">
        <f>SUM(AD1331:AF1331)</f>
        <v>15000</v>
      </c>
      <c r="AH1331" s="160" t="e">
        <f t="shared" si="115"/>
        <v>#REF!</v>
      </c>
    </row>
    <row r="1332" spans="8:34" hidden="1">
      <c r="H1332" s="2924"/>
      <c r="I1332" s="2924"/>
      <c r="J1332" s="2924"/>
      <c r="K1332" s="2924"/>
      <c r="L1332" s="2925"/>
      <c r="M1332" s="2925"/>
      <c r="N1332" s="2925"/>
      <c r="O1332" s="2925"/>
      <c r="P1332" s="2926"/>
      <c r="Q1332" s="1748"/>
      <c r="R1332" s="2221"/>
      <c r="S1332" s="1748"/>
      <c r="T1332" s="679"/>
      <c r="U1332" s="53"/>
      <c r="V1332" s="53"/>
      <c r="W1332" s="53"/>
      <c r="X1332" s="153"/>
      <c r="Y1332" s="679"/>
      <c r="Z1332" s="679"/>
      <c r="AA1332" s="679"/>
      <c r="AB1332" s="679"/>
      <c r="AC1332" s="679"/>
      <c r="AD1332" s="154"/>
      <c r="AE1332" s="151"/>
      <c r="AF1332" s="163"/>
      <c r="AG1332" s="153"/>
      <c r="AH1332" s="160" t="e">
        <f t="shared" si="115"/>
        <v>#DIV/0!</v>
      </c>
    </row>
    <row r="1333" spans="8:34" hidden="1">
      <c r="H1333" s="2924"/>
      <c r="I1333" s="2924"/>
      <c r="J1333" s="2924"/>
      <c r="K1333" s="2924"/>
      <c r="L1333" s="2925"/>
      <c r="M1333" s="2925"/>
      <c r="N1333" s="2925"/>
      <c r="O1333" s="2925"/>
      <c r="P1333" s="2926"/>
      <c r="Q1333" s="1748"/>
      <c r="R1333" s="2221"/>
      <c r="S1333" s="1748"/>
      <c r="T1333" s="679"/>
      <c r="U1333" s="53"/>
      <c r="V1333" s="53"/>
      <c r="W1333" s="53"/>
      <c r="X1333" s="153" t="e">
        <f>SUM(#REF!)</f>
        <v>#REF!</v>
      </c>
      <c r="Y1333" s="679"/>
      <c r="Z1333" s="679"/>
      <c r="AA1333" s="679"/>
      <c r="AB1333" s="679"/>
      <c r="AC1333" s="679"/>
      <c r="AD1333" s="171">
        <v>25000</v>
      </c>
      <c r="AE1333" s="151"/>
      <c r="AF1333" s="163"/>
      <c r="AG1333" s="153">
        <f>SUM(AD1333:AF1333)</f>
        <v>25000</v>
      </c>
      <c r="AH1333" s="160" t="e">
        <f t="shared" si="115"/>
        <v>#REF!</v>
      </c>
    </row>
    <row r="1334" spans="8:34" hidden="1">
      <c r="H1334" s="2909"/>
      <c r="I1334" s="2909"/>
      <c r="J1334" s="2909"/>
      <c r="K1334" s="2909"/>
      <c r="L1334" s="2910"/>
      <c r="M1334" s="2910"/>
      <c r="N1334" s="2910"/>
      <c r="O1334" s="2910"/>
      <c r="P1334" s="2911"/>
      <c r="Q1334" s="1260"/>
      <c r="R1334" s="2216"/>
      <c r="S1334" s="1260"/>
      <c r="T1334" s="446"/>
      <c r="U1334" s="70"/>
      <c r="V1334" s="70"/>
      <c r="W1334" s="70"/>
      <c r="X1334" s="145"/>
      <c r="Y1334" s="446"/>
      <c r="Z1334" s="446"/>
      <c r="AA1334" s="446"/>
      <c r="AB1334" s="446"/>
      <c r="AC1334" s="446"/>
      <c r="AD1334" s="149"/>
      <c r="AE1334" s="147"/>
      <c r="AF1334" s="162"/>
      <c r="AG1334" s="145"/>
      <c r="AH1334" s="160" t="e">
        <f t="shared" si="115"/>
        <v>#DIV/0!</v>
      </c>
    </row>
    <row r="1335" spans="8:34" hidden="1">
      <c r="H1335" s="2909"/>
      <c r="I1335" s="2909"/>
      <c r="J1335" s="2909"/>
      <c r="K1335" s="2909"/>
      <c r="L1335" s="2910"/>
      <c r="M1335" s="2910"/>
      <c r="N1335" s="2910"/>
      <c r="O1335" s="2910"/>
      <c r="P1335" s="2911"/>
      <c r="Q1335" s="1260"/>
      <c r="R1335" s="2216"/>
      <c r="S1335" s="1260"/>
      <c r="T1335" s="446"/>
      <c r="U1335" s="70"/>
      <c r="V1335" s="70"/>
      <c r="W1335" s="70"/>
      <c r="X1335" s="145" t="e">
        <f>SUM(#REF!)</f>
        <v>#REF!</v>
      </c>
      <c r="Y1335" s="446"/>
      <c r="Z1335" s="446"/>
      <c r="AA1335" s="446"/>
      <c r="AB1335" s="446"/>
      <c r="AC1335" s="446"/>
      <c r="AD1335" s="150">
        <f>AD1336</f>
        <v>340000</v>
      </c>
      <c r="AE1335" s="147">
        <f>SUM(AE1336)</f>
        <v>0</v>
      </c>
      <c r="AF1335" s="162">
        <f>SUM(AF1336)</f>
        <v>0</v>
      </c>
      <c r="AG1335" s="145">
        <f>SUM(AD1335:AF1335)</f>
        <v>340000</v>
      </c>
      <c r="AH1335" s="160" t="e">
        <f t="shared" si="115"/>
        <v>#REF!</v>
      </c>
    </row>
    <row r="1336" spans="8:34" hidden="1">
      <c r="H1336" s="2909"/>
      <c r="I1336" s="2909"/>
      <c r="J1336" s="2909"/>
      <c r="K1336" s="2909"/>
      <c r="L1336" s="2910"/>
      <c r="M1336" s="2910"/>
      <c r="N1336" s="2910"/>
      <c r="O1336" s="2910"/>
      <c r="P1336" s="2911"/>
      <c r="Q1336" s="1260"/>
      <c r="R1336" s="2216"/>
      <c r="S1336" s="1260"/>
      <c r="T1336" s="446"/>
      <c r="U1336" s="70"/>
      <c r="V1336" s="70"/>
      <c r="W1336" s="70"/>
      <c r="X1336" s="145" t="e">
        <f t="shared" ref="X1336:AG1336" si="116">SUM(X1337,X1351)</f>
        <v>#REF!</v>
      </c>
      <c r="Y1336" s="446"/>
      <c r="Z1336" s="446"/>
      <c r="AA1336" s="446"/>
      <c r="AB1336" s="446"/>
      <c r="AC1336" s="446"/>
      <c r="AD1336" s="150">
        <f t="shared" si="116"/>
        <v>340000</v>
      </c>
      <c r="AE1336" s="147">
        <f t="shared" si="116"/>
        <v>0</v>
      </c>
      <c r="AF1336" s="162">
        <f t="shared" si="116"/>
        <v>0</v>
      </c>
      <c r="AG1336" s="145">
        <f t="shared" si="116"/>
        <v>340000</v>
      </c>
      <c r="AH1336" s="160" t="e">
        <f t="shared" si="115"/>
        <v>#REF!</v>
      </c>
    </row>
    <row r="1337" spans="8:34" hidden="1">
      <c r="H1337" s="2909"/>
      <c r="I1337" s="2909"/>
      <c r="J1337" s="2909"/>
      <c r="K1337" s="2909"/>
      <c r="L1337" s="2910"/>
      <c r="M1337" s="2910"/>
      <c r="N1337" s="2910"/>
      <c r="O1337" s="2910"/>
      <c r="P1337" s="2911"/>
      <c r="Q1337" s="1260"/>
      <c r="R1337" s="2216"/>
      <c r="S1337" s="1260"/>
      <c r="T1337" s="446"/>
      <c r="U1337" s="70"/>
      <c r="V1337" s="70"/>
      <c r="W1337" s="70"/>
      <c r="X1337" s="145" t="e">
        <f t="shared" ref="X1337:AG1337" si="117">SUM(X1338:X1350)</f>
        <v>#REF!</v>
      </c>
      <c r="Y1337" s="446"/>
      <c r="Z1337" s="446"/>
      <c r="AA1337" s="446"/>
      <c r="AB1337" s="446"/>
      <c r="AC1337" s="446"/>
      <c r="AD1337" s="150">
        <f t="shared" si="117"/>
        <v>195000</v>
      </c>
      <c r="AE1337" s="147">
        <f t="shared" si="117"/>
        <v>0</v>
      </c>
      <c r="AF1337" s="162">
        <f t="shared" si="117"/>
        <v>0</v>
      </c>
      <c r="AG1337" s="145">
        <f t="shared" si="117"/>
        <v>195000</v>
      </c>
      <c r="AH1337" s="160" t="e">
        <f t="shared" si="115"/>
        <v>#REF!</v>
      </c>
    </row>
    <row r="1338" spans="8:34" hidden="1">
      <c r="H1338" s="2924"/>
      <c r="I1338" s="2924"/>
      <c r="J1338" s="2924"/>
      <c r="K1338" s="2924"/>
      <c r="L1338" s="2925"/>
      <c r="M1338" s="2925"/>
      <c r="N1338" s="2925"/>
      <c r="O1338" s="2925"/>
      <c r="P1338" s="2926"/>
      <c r="Q1338" s="1748"/>
      <c r="R1338" s="2221"/>
      <c r="S1338" s="1748"/>
      <c r="T1338" s="679"/>
      <c r="U1338" s="53"/>
      <c r="V1338" s="53"/>
      <c r="W1338" s="53"/>
      <c r="X1338" s="153" t="e">
        <f>SUM(#REF!)</f>
        <v>#REF!</v>
      </c>
      <c r="Y1338" s="679"/>
      <c r="Z1338" s="679"/>
      <c r="AA1338" s="679"/>
      <c r="AB1338" s="679"/>
      <c r="AC1338" s="679"/>
      <c r="AD1338" s="165">
        <v>24000</v>
      </c>
      <c r="AE1338" s="151"/>
      <c r="AF1338" s="163"/>
      <c r="AG1338" s="153">
        <f t="shared" ref="AG1338:AG1351" si="118">SUM(AD1338:AF1338)</f>
        <v>24000</v>
      </c>
      <c r="AH1338" s="160" t="e">
        <f t="shared" si="115"/>
        <v>#REF!</v>
      </c>
    </row>
    <row r="1339" spans="8:34" hidden="1">
      <c r="H1339" s="2924"/>
      <c r="I1339" s="2924"/>
      <c r="J1339" s="2924"/>
      <c r="K1339" s="2924"/>
      <c r="L1339" s="2925"/>
      <c r="M1339" s="2925"/>
      <c r="N1339" s="2925"/>
      <c r="O1339" s="2925"/>
      <c r="P1339" s="2926"/>
      <c r="Q1339" s="1748"/>
      <c r="R1339" s="2221"/>
      <c r="S1339" s="1748"/>
      <c r="T1339" s="679"/>
      <c r="U1339" s="53"/>
      <c r="V1339" s="53"/>
      <c r="W1339" s="53"/>
      <c r="X1339" s="153" t="e">
        <f>SUM(#REF!)</f>
        <v>#REF!</v>
      </c>
      <c r="Y1339" s="679"/>
      <c r="Z1339" s="679"/>
      <c r="AA1339" s="679"/>
      <c r="AB1339" s="679"/>
      <c r="AC1339" s="679"/>
      <c r="AD1339" s="165">
        <v>24000</v>
      </c>
      <c r="AE1339" s="151"/>
      <c r="AF1339" s="163"/>
      <c r="AG1339" s="153">
        <f t="shared" si="118"/>
        <v>24000</v>
      </c>
      <c r="AH1339" s="160" t="e">
        <f t="shared" si="115"/>
        <v>#REF!</v>
      </c>
    </row>
    <row r="1340" spans="8:34" hidden="1">
      <c r="H1340" s="2924"/>
      <c r="I1340" s="2924"/>
      <c r="J1340" s="2924"/>
      <c r="K1340" s="2924"/>
      <c r="L1340" s="2925"/>
      <c r="M1340" s="2925"/>
      <c r="N1340" s="2925"/>
      <c r="O1340" s="2925"/>
      <c r="P1340" s="2926"/>
      <c r="Q1340" s="1748"/>
      <c r="R1340" s="2221"/>
      <c r="S1340" s="1748"/>
      <c r="T1340" s="679"/>
      <c r="U1340" s="53"/>
      <c r="V1340" s="53"/>
      <c r="W1340" s="53"/>
      <c r="X1340" s="153" t="e">
        <f>SUM(#REF!)</f>
        <v>#REF!</v>
      </c>
      <c r="Y1340" s="679"/>
      <c r="Z1340" s="679"/>
      <c r="AA1340" s="679"/>
      <c r="AB1340" s="679"/>
      <c r="AC1340" s="679"/>
      <c r="AD1340" s="165">
        <v>24000</v>
      </c>
      <c r="AE1340" s="151"/>
      <c r="AF1340" s="163"/>
      <c r="AG1340" s="153">
        <f t="shared" si="118"/>
        <v>24000</v>
      </c>
      <c r="AH1340" s="160" t="e">
        <f t="shared" si="115"/>
        <v>#REF!</v>
      </c>
    </row>
    <row r="1341" spans="8:34" hidden="1">
      <c r="H1341" s="2924"/>
      <c r="I1341" s="2924"/>
      <c r="J1341" s="2924"/>
      <c r="K1341" s="2924"/>
      <c r="L1341" s="2925"/>
      <c r="M1341" s="2925"/>
      <c r="N1341" s="2925"/>
      <c r="O1341" s="2925"/>
      <c r="P1341" s="2926"/>
      <c r="Q1341" s="1748"/>
      <c r="R1341" s="2221"/>
      <c r="S1341" s="1748"/>
      <c r="T1341" s="679"/>
      <c r="U1341" s="53"/>
      <c r="V1341" s="53"/>
      <c r="W1341" s="53"/>
      <c r="X1341" s="153" t="e">
        <f>SUM(#REF!)</f>
        <v>#REF!</v>
      </c>
      <c r="Y1341" s="679"/>
      <c r="Z1341" s="679"/>
      <c r="AA1341" s="679"/>
      <c r="AB1341" s="679"/>
      <c r="AC1341" s="679"/>
      <c r="AD1341" s="165">
        <v>24000</v>
      </c>
      <c r="AE1341" s="151"/>
      <c r="AF1341" s="163"/>
      <c r="AG1341" s="153">
        <f t="shared" si="118"/>
        <v>24000</v>
      </c>
      <c r="AH1341" s="160" t="e">
        <f t="shared" si="115"/>
        <v>#REF!</v>
      </c>
    </row>
    <row r="1342" spans="8:34" hidden="1">
      <c r="H1342" s="2924"/>
      <c r="I1342" s="2924"/>
      <c r="J1342" s="2924"/>
      <c r="K1342" s="2924"/>
      <c r="L1342" s="2925"/>
      <c r="M1342" s="2925"/>
      <c r="N1342" s="2925"/>
      <c r="O1342" s="2925"/>
      <c r="P1342" s="2926"/>
      <c r="Q1342" s="1748"/>
      <c r="R1342" s="2221"/>
      <c r="S1342" s="1748"/>
      <c r="T1342" s="679"/>
      <c r="U1342" s="53"/>
      <c r="V1342" s="53"/>
      <c r="W1342" s="53"/>
      <c r="X1342" s="153" t="e">
        <f>SUM(#REF!)</f>
        <v>#REF!</v>
      </c>
      <c r="Y1342" s="679"/>
      <c r="Z1342" s="679"/>
      <c r="AA1342" s="679"/>
      <c r="AB1342" s="679"/>
      <c r="AC1342" s="679"/>
      <c r="AD1342" s="165">
        <v>24000</v>
      </c>
      <c r="AE1342" s="151"/>
      <c r="AF1342" s="163"/>
      <c r="AG1342" s="153">
        <f t="shared" si="118"/>
        <v>24000</v>
      </c>
      <c r="AH1342" s="160" t="e">
        <f t="shared" si="115"/>
        <v>#REF!</v>
      </c>
    </row>
    <row r="1343" spans="8:34" hidden="1">
      <c r="H1343" s="2924"/>
      <c r="I1343" s="2924"/>
      <c r="J1343" s="2924"/>
      <c r="K1343" s="2924"/>
      <c r="L1343" s="2925"/>
      <c r="M1343" s="2925"/>
      <c r="N1343" s="2925"/>
      <c r="O1343" s="2925"/>
      <c r="P1343" s="2926"/>
      <c r="Q1343" s="1748"/>
      <c r="R1343" s="2221"/>
      <c r="S1343" s="1748"/>
      <c r="T1343" s="679"/>
      <c r="U1343" s="53"/>
      <c r="V1343" s="53"/>
      <c r="W1343" s="53"/>
      <c r="X1343" s="153" t="e">
        <f>SUM(#REF!)</f>
        <v>#REF!</v>
      </c>
      <c r="Y1343" s="679"/>
      <c r="Z1343" s="679"/>
      <c r="AA1343" s="679"/>
      <c r="AB1343" s="679"/>
      <c r="AC1343" s="679"/>
      <c r="AD1343" s="165">
        <v>12000</v>
      </c>
      <c r="AE1343" s="151"/>
      <c r="AF1343" s="163"/>
      <c r="AG1343" s="153">
        <f t="shared" si="118"/>
        <v>12000</v>
      </c>
      <c r="AH1343" s="160" t="e">
        <f t="shared" si="115"/>
        <v>#REF!</v>
      </c>
    </row>
    <row r="1344" spans="8:34" hidden="1">
      <c r="H1344" s="2924"/>
      <c r="I1344" s="2924"/>
      <c r="J1344" s="2924"/>
      <c r="K1344" s="2924"/>
      <c r="L1344" s="2925"/>
      <c r="M1344" s="2925"/>
      <c r="N1344" s="2925"/>
      <c r="O1344" s="2925"/>
      <c r="P1344" s="2926"/>
      <c r="Q1344" s="1748"/>
      <c r="R1344" s="2221"/>
      <c r="S1344" s="1748"/>
      <c r="T1344" s="679"/>
      <c r="U1344" s="53"/>
      <c r="V1344" s="53"/>
      <c r="W1344" s="53"/>
      <c r="X1344" s="153" t="e">
        <f>SUM(#REF!)</f>
        <v>#REF!</v>
      </c>
      <c r="Y1344" s="679"/>
      <c r="Z1344" s="679"/>
      <c r="AA1344" s="679"/>
      <c r="AB1344" s="679"/>
      <c r="AC1344" s="679"/>
      <c r="AD1344" s="165">
        <v>12000</v>
      </c>
      <c r="AE1344" s="151"/>
      <c r="AF1344" s="163"/>
      <c r="AG1344" s="153">
        <f t="shared" si="118"/>
        <v>12000</v>
      </c>
      <c r="AH1344" s="160" t="e">
        <f t="shared" si="115"/>
        <v>#REF!</v>
      </c>
    </row>
    <row r="1345" spans="8:34" hidden="1">
      <c r="H1345" s="2924"/>
      <c r="I1345" s="2924"/>
      <c r="J1345" s="2924"/>
      <c r="K1345" s="2924"/>
      <c r="L1345" s="2925"/>
      <c r="M1345" s="2925"/>
      <c r="N1345" s="2925"/>
      <c r="O1345" s="2925"/>
      <c r="P1345" s="2926"/>
      <c r="Q1345" s="1748"/>
      <c r="R1345" s="2221"/>
      <c r="S1345" s="1748"/>
      <c r="T1345" s="679"/>
      <c r="U1345" s="53"/>
      <c r="V1345" s="53"/>
      <c r="W1345" s="53"/>
      <c r="X1345" s="153" t="e">
        <f>SUM(#REF!)</f>
        <v>#REF!</v>
      </c>
      <c r="Y1345" s="679"/>
      <c r="Z1345" s="679"/>
      <c r="AA1345" s="679"/>
      <c r="AB1345" s="679"/>
      <c r="AC1345" s="679"/>
      <c r="AD1345" s="165">
        <v>9000</v>
      </c>
      <c r="AE1345" s="151"/>
      <c r="AF1345" s="163"/>
      <c r="AG1345" s="153">
        <f t="shared" si="118"/>
        <v>9000</v>
      </c>
      <c r="AH1345" s="160" t="e">
        <f t="shared" si="115"/>
        <v>#REF!</v>
      </c>
    </row>
    <row r="1346" spans="8:34" hidden="1">
      <c r="H1346" s="2924"/>
      <c r="I1346" s="2924"/>
      <c r="J1346" s="2924"/>
      <c r="K1346" s="2924"/>
      <c r="L1346" s="2925"/>
      <c r="M1346" s="2925"/>
      <c r="N1346" s="2925"/>
      <c r="O1346" s="2925"/>
      <c r="P1346" s="2926"/>
      <c r="Q1346" s="1748"/>
      <c r="R1346" s="2221"/>
      <c r="S1346" s="1748"/>
      <c r="T1346" s="679"/>
      <c r="U1346" s="53"/>
      <c r="V1346" s="53"/>
      <c r="W1346" s="53"/>
      <c r="X1346" s="153" t="e">
        <f>SUM(#REF!)</f>
        <v>#REF!</v>
      </c>
      <c r="Y1346" s="679"/>
      <c r="Z1346" s="679"/>
      <c r="AA1346" s="679"/>
      <c r="AB1346" s="679"/>
      <c r="AC1346" s="679"/>
      <c r="AD1346" s="165">
        <v>9000</v>
      </c>
      <c r="AE1346" s="151"/>
      <c r="AF1346" s="163"/>
      <c r="AG1346" s="153">
        <f t="shared" si="118"/>
        <v>9000</v>
      </c>
      <c r="AH1346" s="160" t="e">
        <f t="shared" si="115"/>
        <v>#REF!</v>
      </c>
    </row>
    <row r="1347" spans="8:34" hidden="1">
      <c r="H1347" s="2924"/>
      <c r="I1347" s="2924"/>
      <c r="J1347" s="2924"/>
      <c r="K1347" s="2924"/>
      <c r="L1347" s="2925"/>
      <c r="M1347" s="2925"/>
      <c r="N1347" s="2925"/>
      <c r="O1347" s="2925"/>
      <c r="P1347" s="2926"/>
      <c r="Q1347" s="1748"/>
      <c r="R1347" s="2221"/>
      <c r="S1347" s="1748"/>
      <c r="T1347" s="679"/>
      <c r="U1347" s="53"/>
      <c r="V1347" s="53"/>
      <c r="W1347" s="53"/>
      <c r="X1347" s="153" t="e">
        <f>SUM(#REF!)</f>
        <v>#REF!</v>
      </c>
      <c r="Y1347" s="679"/>
      <c r="Z1347" s="679"/>
      <c r="AA1347" s="679"/>
      <c r="AB1347" s="679"/>
      <c r="AC1347" s="679"/>
      <c r="AD1347" s="165">
        <v>2000</v>
      </c>
      <c r="AE1347" s="151"/>
      <c r="AF1347" s="163"/>
      <c r="AG1347" s="153">
        <f t="shared" si="118"/>
        <v>2000</v>
      </c>
      <c r="AH1347" s="160" t="e">
        <f t="shared" si="115"/>
        <v>#REF!</v>
      </c>
    </row>
    <row r="1348" spans="8:34" hidden="1">
      <c r="H1348" s="2924"/>
      <c r="I1348" s="2924"/>
      <c r="J1348" s="2924"/>
      <c r="K1348" s="2924"/>
      <c r="L1348" s="2925"/>
      <c r="M1348" s="2925"/>
      <c r="N1348" s="2925"/>
      <c r="O1348" s="2925"/>
      <c r="P1348" s="2926"/>
      <c r="Q1348" s="1748"/>
      <c r="R1348" s="2221"/>
      <c r="S1348" s="1748"/>
      <c r="T1348" s="679"/>
      <c r="U1348" s="53"/>
      <c r="V1348" s="53"/>
      <c r="W1348" s="53"/>
      <c r="X1348" s="153" t="e">
        <f>SUM(#REF!)</f>
        <v>#REF!</v>
      </c>
      <c r="Y1348" s="679"/>
      <c r="Z1348" s="679"/>
      <c r="AA1348" s="679"/>
      <c r="AB1348" s="679"/>
      <c r="AC1348" s="679"/>
      <c r="AD1348" s="165">
        <v>2000</v>
      </c>
      <c r="AE1348" s="151"/>
      <c r="AF1348" s="163"/>
      <c r="AG1348" s="153">
        <f t="shared" si="118"/>
        <v>2000</v>
      </c>
      <c r="AH1348" s="160" t="e">
        <f t="shared" si="115"/>
        <v>#REF!</v>
      </c>
    </row>
    <row r="1349" spans="8:34" hidden="1">
      <c r="H1349" s="2924"/>
      <c r="I1349" s="2924"/>
      <c r="J1349" s="2924"/>
      <c r="K1349" s="2924"/>
      <c r="L1349" s="2925"/>
      <c r="M1349" s="2925"/>
      <c r="N1349" s="2925"/>
      <c r="O1349" s="2925"/>
      <c r="P1349" s="2926"/>
      <c r="Q1349" s="1748"/>
      <c r="R1349" s="2221"/>
      <c r="S1349" s="1748"/>
      <c r="T1349" s="679"/>
      <c r="U1349" s="53"/>
      <c r="V1349" s="53"/>
      <c r="W1349" s="53"/>
      <c r="X1349" s="153" t="e">
        <f>SUM(#REF!)</f>
        <v>#REF!</v>
      </c>
      <c r="Y1349" s="679"/>
      <c r="Z1349" s="679"/>
      <c r="AA1349" s="679"/>
      <c r="AB1349" s="679"/>
      <c r="AC1349" s="679"/>
      <c r="AD1349" s="165">
        <v>4000</v>
      </c>
      <c r="AE1349" s="151"/>
      <c r="AF1349" s="163"/>
      <c r="AG1349" s="153">
        <f t="shared" si="118"/>
        <v>4000</v>
      </c>
      <c r="AH1349" s="160" t="e">
        <f t="shared" si="115"/>
        <v>#REF!</v>
      </c>
    </row>
    <row r="1350" spans="8:34" hidden="1">
      <c r="H1350" s="2924"/>
      <c r="I1350" s="2924"/>
      <c r="J1350" s="2924"/>
      <c r="K1350" s="2924"/>
      <c r="L1350" s="2925"/>
      <c r="M1350" s="2925"/>
      <c r="N1350" s="2925"/>
      <c r="O1350" s="2925"/>
      <c r="P1350" s="2926"/>
      <c r="Q1350" s="1748"/>
      <c r="R1350" s="2221"/>
      <c r="S1350" s="1748"/>
      <c r="T1350" s="679"/>
      <c r="U1350" s="53"/>
      <c r="V1350" s="53"/>
      <c r="W1350" s="53"/>
      <c r="X1350" s="153" t="e">
        <f>SUM(#REF!)</f>
        <v>#REF!</v>
      </c>
      <c r="Y1350" s="679"/>
      <c r="Z1350" s="679"/>
      <c r="AA1350" s="679"/>
      <c r="AB1350" s="679"/>
      <c r="AC1350" s="679"/>
      <c r="AD1350" s="165">
        <v>25000</v>
      </c>
      <c r="AE1350" s="151"/>
      <c r="AF1350" s="163"/>
      <c r="AG1350" s="153">
        <f t="shared" si="118"/>
        <v>25000</v>
      </c>
      <c r="AH1350" s="160" t="e">
        <f t="shared" si="115"/>
        <v>#REF!</v>
      </c>
    </row>
    <row r="1351" spans="8:34" hidden="1">
      <c r="H1351" s="2924"/>
      <c r="I1351" s="2924"/>
      <c r="J1351" s="2924"/>
      <c r="K1351" s="2924"/>
      <c r="L1351" s="2925"/>
      <c r="M1351" s="2925"/>
      <c r="N1351" s="2925"/>
      <c r="O1351" s="2925"/>
      <c r="P1351" s="2926"/>
      <c r="Q1351" s="1748"/>
      <c r="R1351" s="2221"/>
      <c r="S1351" s="1748"/>
      <c r="T1351" s="679"/>
      <c r="U1351" s="53"/>
      <c r="V1351" s="53"/>
      <c r="W1351" s="53"/>
      <c r="X1351" s="145" t="e">
        <f>SUM(#REF!)</f>
        <v>#REF!</v>
      </c>
      <c r="Y1351" s="446"/>
      <c r="Z1351" s="446"/>
      <c r="AA1351" s="446"/>
      <c r="AB1351" s="446"/>
      <c r="AC1351" s="446"/>
      <c r="AD1351" s="146">
        <v>145000</v>
      </c>
      <c r="AE1351" s="151"/>
      <c r="AF1351" s="163"/>
      <c r="AG1351" s="145">
        <f t="shared" si="118"/>
        <v>145000</v>
      </c>
      <c r="AH1351" s="160" t="e">
        <f t="shared" si="115"/>
        <v>#REF!</v>
      </c>
    </row>
    <row r="1352" spans="8:34" hidden="1">
      <c r="H1352" s="2921"/>
      <c r="I1352" s="2921"/>
      <c r="J1352" s="2921"/>
      <c r="K1352" s="2921"/>
      <c r="L1352" s="2922"/>
      <c r="M1352" s="2922"/>
      <c r="N1352" s="2922"/>
      <c r="O1352" s="2922"/>
      <c r="P1352" s="2923"/>
      <c r="Q1352" s="1511"/>
      <c r="R1352" s="2220"/>
      <c r="S1352" s="1511"/>
      <c r="T1352" s="572"/>
      <c r="U1352" s="12"/>
      <c r="V1352" s="12"/>
      <c r="W1352" s="12"/>
      <c r="X1352" s="174" t="e">
        <f>SUM(X1354,X1385,X1406,X1458)</f>
        <v>#REF!</v>
      </c>
      <c r="Y1352" s="572"/>
      <c r="Z1352" s="572"/>
      <c r="AA1352" s="572"/>
      <c r="AB1352" s="572"/>
      <c r="AC1352" s="572"/>
      <c r="AD1352" s="175">
        <f>SUM(AD1354,AD1385,AD1406,AD1458)</f>
        <v>2663000</v>
      </c>
      <c r="AE1352" s="172">
        <f>SUM(AE1354,AE1385,AE1406,)</f>
        <v>5957415</v>
      </c>
      <c r="AF1352" s="173">
        <f>SUM(AF1354,AF1385,AF1406,)</f>
        <v>5470136</v>
      </c>
      <c r="AG1352" s="174">
        <f>SUM(AG1354,AG1385,AG1406,AG1458)</f>
        <v>14090551</v>
      </c>
      <c r="AH1352" s="176" t="e">
        <f t="shared" si="115"/>
        <v>#REF!</v>
      </c>
    </row>
    <row r="1353" spans="8:34" hidden="1">
      <c r="H1353" s="2921"/>
      <c r="I1353" s="2921"/>
      <c r="J1353" s="2921"/>
      <c r="K1353" s="2921"/>
      <c r="L1353" s="2922"/>
      <c r="M1353" s="2922"/>
      <c r="N1353" s="2922"/>
      <c r="O1353" s="2922"/>
      <c r="P1353" s="2923"/>
      <c r="Q1353" s="1511"/>
      <c r="R1353" s="2220"/>
      <c r="S1353" s="1511"/>
      <c r="T1353" s="572"/>
      <c r="U1353" s="12"/>
      <c r="V1353" s="12"/>
      <c r="W1353" s="12"/>
      <c r="X1353" s="174"/>
      <c r="Y1353" s="572"/>
      <c r="Z1353" s="572"/>
      <c r="AA1353" s="572"/>
      <c r="AB1353" s="572"/>
      <c r="AC1353" s="572"/>
      <c r="AD1353" s="175">
        <v>62</v>
      </c>
      <c r="AE1353" s="172"/>
      <c r="AF1353" s="173"/>
      <c r="AG1353" s="174"/>
      <c r="AH1353" s="176"/>
    </row>
    <row r="1354" spans="8:34" hidden="1">
      <c r="H1354" s="2909"/>
      <c r="I1354" s="2909"/>
      <c r="J1354" s="2909"/>
      <c r="K1354" s="2909"/>
      <c r="L1354" s="2910"/>
      <c r="M1354" s="2910"/>
      <c r="N1354" s="2910"/>
      <c r="O1354" s="2910"/>
      <c r="P1354" s="2911"/>
      <c r="Q1354" s="1260"/>
      <c r="R1354" s="2216"/>
      <c r="S1354" s="1260"/>
      <c r="T1354" s="446"/>
      <c r="U1354" s="70"/>
      <c r="V1354" s="70"/>
      <c r="W1354" s="70"/>
      <c r="X1354" s="145" t="e">
        <f t="shared" ref="X1354:AG1354" si="119">SUM(X1355,X1364,X1366,)</f>
        <v>#REF!</v>
      </c>
      <c r="Y1354" s="446"/>
      <c r="Z1354" s="446"/>
      <c r="AA1354" s="446"/>
      <c r="AB1354" s="446"/>
      <c r="AC1354" s="446"/>
      <c r="AD1354" s="150">
        <f t="shared" si="119"/>
        <v>2064500</v>
      </c>
      <c r="AE1354" s="147">
        <f t="shared" si="119"/>
        <v>200000</v>
      </c>
      <c r="AF1354" s="162">
        <f t="shared" si="119"/>
        <v>0</v>
      </c>
      <c r="AG1354" s="145">
        <f t="shared" si="119"/>
        <v>2264500</v>
      </c>
      <c r="AH1354" s="160" t="e">
        <f>AG1354/X1354*100</f>
        <v>#REF!</v>
      </c>
    </row>
    <row r="1355" spans="8:34" hidden="1">
      <c r="H1355" s="2909"/>
      <c r="I1355" s="2909"/>
      <c r="J1355" s="2909"/>
      <c r="K1355" s="2909"/>
      <c r="L1355" s="2910"/>
      <c r="M1355" s="2910"/>
      <c r="N1355" s="2910"/>
      <c r="O1355" s="2910"/>
      <c r="P1355" s="2911"/>
      <c r="Q1355" s="1260"/>
      <c r="R1355" s="2216"/>
      <c r="S1355" s="1260"/>
      <c r="T1355" s="446"/>
      <c r="U1355" s="70"/>
      <c r="V1355" s="70"/>
      <c r="W1355" s="70"/>
      <c r="X1355" s="145" t="e">
        <f>SUM(X1356,X1360)</f>
        <v>#REF!</v>
      </c>
      <c r="Y1355" s="446"/>
      <c r="Z1355" s="446"/>
      <c r="AA1355" s="446"/>
      <c r="AB1355" s="446"/>
      <c r="AC1355" s="446"/>
      <c r="AD1355" s="150">
        <f t="shared" ref="AD1355:AG1355" si="120">SUM(AD1356,AD1360)</f>
        <v>1778000</v>
      </c>
      <c r="AE1355" s="147">
        <f t="shared" si="120"/>
        <v>0</v>
      </c>
      <c r="AF1355" s="162">
        <f t="shared" si="120"/>
        <v>0</v>
      </c>
      <c r="AG1355" s="145">
        <f t="shared" si="120"/>
        <v>1778000</v>
      </c>
      <c r="AH1355" s="160" t="e">
        <f>AG1355/X1355*100</f>
        <v>#REF!</v>
      </c>
    </row>
    <row r="1356" spans="8:34" hidden="1">
      <c r="H1356" s="2909"/>
      <c r="I1356" s="2909"/>
      <c r="J1356" s="2909"/>
      <c r="K1356" s="2909"/>
      <c r="L1356" s="2910"/>
      <c r="M1356" s="2910"/>
      <c r="N1356" s="2910"/>
      <c r="O1356" s="2910"/>
      <c r="P1356" s="2911"/>
      <c r="Q1356" s="1260"/>
      <c r="R1356" s="2216"/>
      <c r="S1356" s="1260"/>
      <c r="T1356" s="446"/>
      <c r="U1356" s="70"/>
      <c r="V1356" s="70"/>
      <c r="W1356" s="70"/>
      <c r="X1356" s="145" t="e">
        <f>SUM(X1357:X1359)</f>
        <v>#REF!</v>
      </c>
      <c r="Y1356" s="446"/>
      <c r="Z1356" s="446"/>
      <c r="AA1356" s="446"/>
      <c r="AB1356" s="446"/>
      <c r="AC1356" s="446"/>
      <c r="AD1356" s="177">
        <f t="shared" ref="AD1356:AG1356" si="121">SUM(AD1357:AD1359)</f>
        <v>1610000</v>
      </c>
      <c r="AE1356" s="147">
        <f t="shared" si="121"/>
        <v>0</v>
      </c>
      <c r="AF1356" s="162">
        <f t="shared" si="121"/>
        <v>0</v>
      </c>
      <c r="AG1356" s="145">
        <f t="shared" si="121"/>
        <v>1610000</v>
      </c>
      <c r="AH1356" s="160" t="e">
        <f>AG1356/X1356*100</f>
        <v>#REF!</v>
      </c>
    </row>
    <row r="1357" spans="8:34" hidden="1">
      <c r="H1357" s="2924"/>
      <c r="I1357" s="2924"/>
      <c r="J1357" s="2924"/>
      <c r="K1357" s="2924"/>
      <c r="L1357" s="2925"/>
      <c r="M1357" s="2925"/>
      <c r="N1357" s="2925"/>
      <c r="O1357" s="2925"/>
      <c r="P1357" s="2926"/>
      <c r="Q1357" s="1748"/>
      <c r="R1357" s="2221"/>
      <c r="S1357" s="1748"/>
      <c r="T1357" s="679"/>
      <c r="U1357" s="53"/>
      <c r="V1357" s="53"/>
      <c r="W1357" s="53"/>
      <c r="X1357" s="153" t="e">
        <f>SUM(#REF!)</f>
        <v>#REF!</v>
      </c>
      <c r="Y1357" s="679"/>
      <c r="Z1357" s="679"/>
      <c r="AA1357" s="679"/>
      <c r="AB1357" s="679"/>
      <c r="AC1357" s="679"/>
      <c r="AD1357" s="179">
        <v>1105000</v>
      </c>
      <c r="AE1357" s="151"/>
      <c r="AF1357" s="163"/>
      <c r="AG1357" s="153">
        <f>SUM(AD1357:AF1357)</f>
        <v>1105000</v>
      </c>
      <c r="AH1357" s="160" t="e">
        <f>AG1357/X1357*100</f>
        <v>#REF!</v>
      </c>
    </row>
    <row r="1358" spans="8:34" hidden="1">
      <c r="H1358" s="2924"/>
      <c r="I1358" s="2924"/>
      <c r="J1358" s="2924"/>
      <c r="K1358" s="2924"/>
      <c r="L1358" s="2925"/>
      <c r="M1358" s="2925"/>
      <c r="N1358" s="2925"/>
      <c r="O1358" s="2925"/>
      <c r="P1358" s="2926"/>
      <c r="Q1358" s="1748"/>
      <c r="R1358" s="2221"/>
      <c r="S1358" s="1748"/>
      <c r="T1358" s="679"/>
      <c r="U1358" s="53"/>
      <c r="V1358" s="53"/>
      <c r="W1358" s="53"/>
      <c r="X1358" s="153" t="e">
        <f>SUM(#REF!)</f>
        <v>#REF!</v>
      </c>
      <c r="Y1358" s="679"/>
      <c r="Z1358" s="679"/>
      <c r="AA1358" s="679"/>
      <c r="AB1358" s="679"/>
      <c r="AC1358" s="679"/>
      <c r="AD1358" s="179"/>
      <c r="AE1358" s="151"/>
      <c r="AF1358" s="163"/>
      <c r="AG1358" s="153">
        <f>SUM(AD1358:AF1358)</f>
        <v>0</v>
      </c>
      <c r="AH1358" s="160"/>
    </row>
    <row r="1359" spans="8:34" hidden="1">
      <c r="H1359" s="2909"/>
      <c r="I1359" s="2909"/>
      <c r="J1359" s="2909"/>
      <c r="K1359" s="2909"/>
      <c r="L1359" s="2910"/>
      <c r="M1359" s="2910"/>
      <c r="N1359" s="2910"/>
      <c r="O1359" s="2910"/>
      <c r="P1359" s="2911"/>
      <c r="Q1359" s="1260"/>
      <c r="R1359" s="2216"/>
      <c r="S1359" s="1260"/>
      <c r="T1359" s="446"/>
      <c r="U1359" s="70"/>
      <c r="V1359" s="70"/>
      <c r="W1359" s="70"/>
      <c r="X1359" s="153" t="e">
        <f>SUM(#REF!)</f>
        <v>#REF!</v>
      </c>
      <c r="Y1359" s="679"/>
      <c r="Z1359" s="679"/>
      <c r="AA1359" s="679"/>
      <c r="AB1359" s="679"/>
      <c r="AC1359" s="679"/>
      <c r="AD1359" s="181">
        <v>505000</v>
      </c>
      <c r="AE1359" s="147"/>
      <c r="AF1359" s="162"/>
      <c r="AG1359" s="153">
        <f t="shared" ref="AG1359:AG1365" si="122">SUM(AD1359:AF1359)</f>
        <v>505000</v>
      </c>
      <c r="AH1359" s="160" t="e">
        <f t="shared" ref="AH1359:AH1381" si="123">AG1359/X1359*100</f>
        <v>#REF!</v>
      </c>
    </row>
    <row r="1360" spans="8:34" hidden="1">
      <c r="H1360" s="2909"/>
      <c r="I1360" s="2909"/>
      <c r="J1360" s="2909"/>
      <c r="K1360" s="2909"/>
      <c r="L1360" s="2910"/>
      <c r="M1360" s="2910"/>
      <c r="N1360" s="2910"/>
      <c r="O1360" s="2910"/>
      <c r="P1360" s="2911"/>
      <c r="Q1360" s="1260"/>
      <c r="R1360" s="2216"/>
      <c r="S1360" s="1260"/>
      <c r="T1360" s="446"/>
      <c r="U1360" s="70"/>
      <c r="V1360" s="70"/>
      <c r="W1360" s="70"/>
      <c r="X1360" s="145" t="e">
        <f>SUM(#REF!)</f>
        <v>#REF!</v>
      </c>
      <c r="Y1360" s="446"/>
      <c r="Z1360" s="446"/>
      <c r="AA1360" s="446"/>
      <c r="AB1360" s="446"/>
      <c r="AC1360" s="446"/>
      <c r="AD1360" s="150">
        <f>SUM(AD1361:AD1363)</f>
        <v>168000</v>
      </c>
      <c r="AE1360" s="147">
        <f>SUM(AE1361:AE1363)</f>
        <v>0</v>
      </c>
      <c r="AF1360" s="162">
        <f>SUM(AF1361:AF1363)</f>
        <v>0</v>
      </c>
      <c r="AG1360" s="145">
        <f t="shared" si="122"/>
        <v>168000</v>
      </c>
      <c r="AH1360" s="160" t="e">
        <f t="shared" si="123"/>
        <v>#REF!</v>
      </c>
    </row>
    <row r="1361" spans="8:34" hidden="1">
      <c r="H1361" s="2924"/>
      <c r="I1361" s="2924"/>
      <c r="J1361" s="2924"/>
      <c r="K1361" s="2924"/>
      <c r="L1361" s="2925"/>
      <c r="M1361" s="2925"/>
      <c r="N1361" s="2925"/>
      <c r="O1361" s="2925"/>
      <c r="P1361" s="2926"/>
      <c r="Q1361" s="1748"/>
      <c r="R1361" s="2221"/>
      <c r="S1361" s="1748"/>
      <c r="T1361" s="679"/>
      <c r="U1361" s="53"/>
      <c r="V1361" s="53"/>
      <c r="W1361" s="53"/>
      <c r="X1361" s="153" t="e">
        <f>SUM(#REF!)</f>
        <v>#REF!</v>
      </c>
      <c r="Y1361" s="679"/>
      <c r="Z1361" s="679"/>
      <c r="AA1361" s="679"/>
      <c r="AB1361" s="679"/>
      <c r="AC1361" s="679"/>
      <c r="AD1361" s="179">
        <v>18000</v>
      </c>
      <c r="AE1361" s="151"/>
      <c r="AF1361" s="163"/>
      <c r="AG1361" s="153">
        <f t="shared" si="122"/>
        <v>18000</v>
      </c>
      <c r="AH1361" s="160" t="e">
        <f t="shared" si="123"/>
        <v>#REF!</v>
      </c>
    </row>
    <row r="1362" spans="8:34" hidden="1">
      <c r="H1362" s="2924"/>
      <c r="I1362" s="2924"/>
      <c r="J1362" s="2924"/>
      <c r="K1362" s="2924"/>
      <c r="L1362" s="2925"/>
      <c r="M1362" s="2925"/>
      <c r="N1362" s="2925"/>
      <c r="O1362" s="2925"/>
      <c r="P1362" s="2926"/>
      <c r="Q1362" s="1748"/>
      <c r="R1362" s="2221"/>
      <c r="S1362" s="1748"/>
      <c r="T1362" s="679"/>
      <c r="U1362" s="53"/>
      <c r="V1362" s="53"/>
      <c r="W1362" s="53"/>
      <c r="X1362" s="153" t="e">
        <f>SUM(#REF!)</f>
        <v>#REF!</v>
      </c>
      <c r="Y1362" s="679"/>
      <c r="Z1362" s="679"/>
      <c r="AA1362" s="679"/>
      <c r="AB1362" s="679"/>
      <c r="AC1362" s="679"/>
      <c r="AD1362" s="179">
        <v>120000</v>
      </c>
      <c r="AE1362" s="151"/>
      <c r="AF1362" s="163"/>
      <c r="AG1362" s="153">
        <f t="shared" si="122"/>
        <v>120000</v>
      </c>
      <c r="AH1362" s="160" t="e">
        <f t="shared" si="123"/>
        <v>#REF!</v>
      </c>
    </row>
    <row r="1363" spans="8:34" hidden="1">
      <c r="H1363" s="2909"/>
      <c r="I1363" s="2909"/>
      <c r="J1363" s="2909"/>
      <c r="K1363" s="2909"/>
      <c r="L1363" s="2910"/>
      <c r="M1363" s="2910"/>
      <c r="N1363" s="2910"/>
      <c r="O1363" s="2910"/>
      <c r="P1363" s="2911"/>
      <c r="Q1363" s="1260"/>
      <c r="R1363" s="2216"/>
      <c r="S1363" s="1260"/>
      <c r="T1363" s="446"/>
      <c r="U1363" s="70"/>
      <c r="V1363" s="70"/>
      <c r="W1363" s="70"/>
      <c r="X1363" s="153" t="e">
        <f>SUM(#REF!)</f>
        <v>#REF!</v>
      </c>
      <c r="Y1363" s="679"/>
      <c r="Z1363" s="679"/>
      <c r="AA1363" s="679"/>
      <c r="AB1363" s="679"/>
      <c r="AC1363" s="679"/>
      <c r="AD1363" s="179">
        <v>30000</v>
      </c>
      <c r="AE1363" s="147"/>
      <c r="AF1363" s="162"/>
      <c r="AG1363" s="153">
        <f t="shared" si="122"/>
        <v>30000</v>
      </c>
      <c r="AH1363" s="160" t="e">
        <f t="shared" si="123"/>
        <v>#REF!</v>
      </c>
    </row>
    <row r="1364" spans="8:34" hidden="1">
      <c r="H1364" s="2909"/>
      <c r="I1364" s="2909"/>
      <c r="J1364" s="2909"/>
      <c r="K1364" s="2909"/>
      <c r="L1364" s="2910"/>
      <c r="M1364" s="2910"/>
      <c r="N1364" s="2910"/>
      <c r="O1364" s="2910"/>
      <c r="P1364" s="2911"/>
      <c r="Q1364" s="1260"/>
      <c r="R1364" s="2216"/>
      <c r="S1364" s="1260"/>
      <c r="T1364" s="446"/>
      <c r="U1364" s="70"/>
      <c r="V1364" s="70"/>
      <c r="W1364" s="70"/>
      <c r="X1364" s="145" t="e">
        <f>SUM(#REF!)</f>
        <v>#REF!</v>
      </c>
      <c r="Y1364" s="446"/>
      <c r="Z1364" s="446"/>
      <c r="AA1364" s="446"/>
      <c r="AB1364" s="446"/>
      <c r="AC1364" s="446"/>
      <c r="AD1364" s="150">
        <f t="shared" ref="AD1364:AF1364" si="124">SUM(AD1365)</f>
        <v>170000</v>
      </c>
      <c r="AE1364" s="147">
        <f t="shared" si="124"/>
        <v>0</v>
      </c>
      <c r="AF1364" s="162">
        <f t="shared" si="124"/>
        <v>0</v>
      </c>
      <c r="AG1364" s="145">
        <f t="shared" si="122"/>
        <v>170000</v>
      </c>
      <c r="AH1364" s="160" t="e">
        <f t="shared" si="123"/>
        <v>#REF!</v>
      </c>
    </row>
    <row r="1365" spans="8:34" hidden="1">
      <c r="H1365" s="2909"/>
      <c r="I1365" s="2909"/>
      <c r="J1365" s="2909"/>
      <c r="K1365" s="2909"/>
      <c r="L1365" s="2910"/>
      <c r="M1365" s="2910"/>
      <c r="N1365" s="2910"/>
      <c r="O1365" s="2910"/>
      <c r="P1365" s="2911"/>
      <c r="Q1365" s="1260"/>
      <c r="R1365" s="2216"/>
      <c r="S1365" s="1260"/>
      <c r="T1365" s="446"/>
      <c r="U1365" s="70"/>
      <c r="V1365" s="70"/>
      <c r="W1365" s="70"/>
      <c r="X1365" s="153" t="e">
        <f>SUM(#REF!)</f>
        <v>#REF!</v>
      </c>
      <c r="Y1365" s="679"/>
      <c r="Z1365" s="679"/>
      <c r="AA1365" s="679"/>
      <c r="AB1365" s="679"/>
      <c r="AC1365" s="679"/>
      <c r="AD1365" s="181">
        <v>170000</v>
      </c>
      <c r="AE1365" s="147"/>
      <c r="AF1365" s="162"/>
      <c r="AG1365" s="153">
        <f t="shared" si="122"/>
        <v>170000</v>
      </c>
      <c r="AH1365" s="160" t="e">
        <f t="shared" si="123"/>
        <v>#REF!</v>
      </c>
    </row>
    <row r="1366" spans="8:34" hidden="1">
      <c r="H1366" s="2909"/>
      <c r="I1366" s="2909"/>
      <c r="J1366" s="2909"/>
      <c r="K1366" s="2909"/>
      <c r="L1366" s="2910"/>
      <c r="M1366" s="2910"/>
      <c r="N1366" s="2910"/>
      <c r="O1366" s="2910"/>
      <c r="P1366" s="2911"/>
      <c r="Q1366" s="1260"/>
      <c r="R1366" s="2216"/>
      <c r="S1366" s="1260"/>
      <c r="T1366" s="446"/>
      <c r="U1366" s="70"/>
      <c r="V1366" s="70"/>
      <c r="W1366" s="70"/>
      <c r="X1366" s="145" t="e">
        <f t="shared" ref="X1366:AG1366" si="125">SUM(X1367:X1372)</f>
        <v>#REF!</v>
      </c>
      <c r="Y1366" s="446"/>
      <c r="Z1366" s="446"/>
      <c r="AA1366" s="446"/>
      <c r="AB1366" s="446"/>
      <c r="AC1366" s="446"/>
      <c r="AD1366" s="150">
        <f t="shared" si="125"/>
        <v>116500</v>
      </c>
      <c r="AE1366" s="147">
        <f t="shared" si="125"/>
        <v>200000</v>
      </c>
      <c r="AF1366" s="162">
        <f t="shared" si="125"/>
        <v>0</v>
      </c>
      <c r="AG1366" s="145">
        <f t="shared" si="125"/>
        <v>316500</v>
      </c>
      <c r="AH1366" s="160" t="e">
        <f t="shared" si="123"/>
        <v>#REF!</v>
      </c>
    </row>
    <row r="1367" spans="8:34" hidden="1">
      <c r="H1367" s="2924"/>
      <c r="I1367" s="2924"/>
      <c r="J1367" s="2924"/>
      <c r="K1367" s="2924"/>
      <c r="L1367" s="2925"/>
      <c r="M1367" s="2925"/>
      <c r="N1367" s="2925"/>
      <c r="O1367" s="2925"/>
      <c r="P1367" s="2926"/>
      <c r="Q1367" s="1748"/>
      <c r="R1367" s="2221"/>
      <c r="S1367" s="1748"/>
      <c r="T1367" s="679"/>
      <c r="U1367" s="53"/>
      <c r="V1367" s="53"/>
      <c r="W1367" s="53"/>
      <c r="X1367" s="153" t="e">
        <f>SUM(#REF!)</f>
        <v>#REF!</v>
      </c>
      <c r="Y1367" s="679"/>
      <c r="Z1367" s="679"/>
      <c r="AA1367" s="679"/>
      <c r="AB1367" s="679"/>
      <c r="AC1367" s="679"/>
      <c r="AD1367" s="179">
        <v>1500</v>
      </c>
      <c r="AE1367" s="151"/>
      <c r="AF1367" s="163"/>
      <c r="AG1367" s="153">
        <f>SUM(AD1367:AF1367)</f>
        <v>1500</v>
      </c>
      <c r="AH1367" s="160" t="e">
        <f t="shared" si="123"/>
        <v>#REF!</v>
      </c>
    </row>
    <row r="1368" spans="8:34" hidden="1">
      <c r="H1368" s="2924"/>
      <c r="I1368" s="2924"/>
      <c r="J1368" s="2924"/>
      <c r="K1368" s="2924"/>
      <c r="L1368" s="2925"/>
      <c r="M1368" s="2925"/>
      <c r="N1368" s="2925"/>
      <c r="O1368" s="2925"/>
      <c r="P1368" s="2926"/>
      <c r="Q1368" s="1748"/>
      <c r="R1368" s="2221"/>
      <c r="S1368" s="1748"/>
      <c r="T1368" s="679"/>
      <c r="U1368" s="53"/>
      <c r="V1368" s="53"/>
      <c r="W1368" s="53"/>
      <c r="X1368" s="153" t="e">
        <f>SUM(#REF!)</f>
        <v>#REF!</v>
      </c>
      <c r="Y1368" s="679"/>
      <c r="Z1368" s="679"/>
      <c r="AA1368" s="679"/>
      <c r="AB1368" s="679"/>
      <c r="AC1368" s="679"/>
      <c r="AD1368" s="179">
        <v>40000</v>
      </c>
      <c r="AE1368" s="151"/>
      <c r="AF1368" s="163"/>
      <c r="AG1368" s="153">
        <f>SUM(AD1368:AF1368)</f>
        <v>40000</v>
      </c>
      <c r="AH1368" s="160" t="e">
        <f t="shared" si="123"/>
        <v>#REF!</v>
      </c>
    </row>
    <row r="1369" spans="8:34" hidden="1">
      <c r="H1369" s="2924"/>
      <c r="I1369" s="2924"/>
      <c r="J1369" s="2924"/>
      <c r="K1369" s="2924"/>
      <c r="L1369" s="2925"/>
      <c r="M1369" s="2925"/>
      <c r="N1369" s="2925"/>
      <c r="O1369" s="2925"/>
      <c r="P1369" s="2926"/>
      <c r="Q1369" s="1748"/>
      <c r="R1369" s="2221"/>
      <c r="S1369" s="1748"/>
      <c r="T1369" s="679"/>
      <c r="U1369" s="53"/>
      <c r="V1369" s="53"/>
      <c r="W1369" s="53"/>
      <c r="X1369" s="153" t="e">
        <f>SUM(#REF!)</f>
        <v>#REF!</v>
      </c>
      <c r="Y1369" s="679"/>
      <c r="Z1369" s="679"/>
      <c r="AA1369" s="679"/>
      <c r="AB1369" s="679"/>
      <c r="AC1369" s="679"/>
      <c r="AD1369" s="179">
        <v>15000</v>
      </c>
      <c r="AE1369" s="151"/>
      <c r="AF1369" s="163"/>
      <c r="AG1369" s="153">
        <f>SUM(AD1369:AF1369)</f>
        <v>15000</v>
      </c>
      <c r="AH1369" s="160" t="e">
        <f t="shared" si="123"/>
        <v>#REF!</v>
      </c>
    </row>
    <row r="1370" spans="8:34" hidden="1">
      <c r="H1370" s="2924"/>
      <c r="I1370" s="2924"/>
      <c r="J1370" s="2924"/>
      <c r="K1370" s="2924"/>
      <c r="L1370" s="2925"/>
      <c r="M1370" s="2925"/>
      <c r="N1370" s="2925"/>
      <c r="O1370" s="2925"/>
      <c r="P1370" s="2926"/>
      <c r="Q1370" s="1748"/>
      <c r="R1370" s="2221"/>
      <c r="S1370" s="1748"/>
      <c r="T1370" s="679"/>
      <c r="U1370" s="53"/>
      <c r="V1370" s="53"/>
      <c r="W1370" s="53"/>
      <c r="X1370" s="153" t="e">
        <f>SUM(#REF!)</f>
        <v>#REF!</v>
      </c>
      <c r="Y1370" s="679"/>
      <c r="Z1370" s="679"/>
      <c r="AA1370" s="679"/>
      <c r="AB1370" s="679"/>
      <c r="AC1370" s="679"/>
      <c r="AD1370" s="179">
        <v>19000</v>
      </c>
      <c r="AE1370" s="151"/>
      <c r="AF1370" s="163"/>
      <c r="AG1370" s="153">
        <f>SUM(AD1370:AF1370)</f>
        <v>19000</v>
      </c>
      <c r="AH1370" s="160" t="e">
        <f t="shared" si="123"/>
        <v>#REF!</v>
      </c>
    </row>
    <row r="1371" spans="8:34" hidden="1">
      <c r="H1371" s="2924"/>
      <c r="I1371" s="2924"/>
      <c r="J1371" s="2924"/>
      <c r="K1371" s="2924"/>
      <c r="L1371" s="2925"/>
      <c r="M1371" s="2925"/>
      <c r="N1371" s="2925"/>
      <c r="O1371" s="2925"/>
      <c r="P1371" s="2926"/>
      <c r="Q1371" s="1748"/>
      <c r="R1371" s="2221"/>
      <c r="S1371" s="1748"/>
      <c r="T1371" s="679"/>
      <c r="U1371" s="53"/>
      <c r="V1371" s="53"/>
      <c r="W1371" s="53"/>
      <c r="X1371" s="153" t="e">
        <f>SUM(#REF!)</f>
        <v>#REF!</v>
      </c>
      <c r="Y1371" s="679"/>
      <c r="Z1371" s="679"/>
      <c r="AA1371" s="679"/>
      <c r="AB1371" s="679"/>
      <c r="AC1371" s="679"/>
      <c r="AD1371" s="179">
        <v>5000</v>
      </c>
      <c r="AE1371" s="151"/>
      <c r="AF1371" s="163"/>
      <c r="AG1371" s="153">
        <f>SUM(AD1371:AF1371)</f>
        <v>5000</v>
      </c>
      <c r="AH1371" s="160" t="e">
        <f t="shared" si="123"/>
        <v>#REF!</v>
      </c>
    </row>
    <row r="1372" spans="8:34" hidden="1">
      <c r="H1372" s="2909"/>
      <c r="I1372" s="2909"/>
      <c r="J1372" s="2909"/>
      <c r="K1372" s="2909"/>
      <c r="L1372" s="2910"/>
      <c r="M1372" s="2910"/>
      <c r="N1372" s="2910"/>
      <c r="O1372" s="2910"/>
      <c r="P1372" s="2911"/>
      <c r="Q1372" s="1260"/>
      <c r="R1372" s="2216"/>
      <c r="S1372" s="1260"/>
      <c r="T1372" s="446"/>
      <c r="U1372" s="70"/>
      <c r="V1372" s="70"/>
      <c r="W1372" s="70"/>
      <c r="X1372" s="145" t="e">
        <f>SUM(X1373:X1382)</f>
        <v>#REF!</v>
      </c>
      <c r="Y1372" s="446"/>
      <c r="Z1372" s="446"/>
      <c r="AA1372" s="446"/>
      <c r="AB1372" s="446"/>
      <c r="AC1372" s="446"/>
      <c r="AD1372" s="150">
        <f>SUM(AD1373:AD1382)</f>
        <v>36000</v>
      </c>
      <c r="AE1372" s="147">
        <f>SUM(AE1373:AE1381)</f>
        <v>200000</v>
      </c>
      <c r="AF1372" s="162">
        <f>SUM(AF1373:AF1381)</f>
        <v>0</v>
      </c>
      <c r="AG1372" s="145">
        <f>SUM(AG1373:AG1382)</f>
        <v>236000</v>
      </c>
      <c r="AH1372" s="160" t="e">
        <f t="shared" si="123"/>
        <v>#REF!</v>
      </c>
    </row>
    <row r="1373" spans="8:34" hidden="1">
      <c r="H1373" s="2924"/>
      <c r="I1373" s="2924"/>
      <c r="J1373" s="2924"/>
      <c r="K1373" s="2924"/>
      <c r="L1373" s="2925"/>
      <c r="M1373" s="2925"/>
      <c r="N1373" s="2925"/>
      <c r="O1373" s="2925"/>
      <c r="P1373" s="2926"/>
      <c r="Q1373" s="1748"/>
      <c r="R1373" s="2221"/>
      <c r="S1373" s="1748"/>
      <c r="T1373" s="679"/>
      <c r="U1373" s="53"/>
      <c r="V1373" s="53"/>
      <c r="W1373" s="53"/>
      <c r="X1373" s="153" t="e">
        <f>SUM(#REF!)</f>
        <v>#REF!</v>
      </c>
      <c r="Y1373" s="679"/>
      <c r="Z1373" s="679"/>
      <c r="AA1373" s="679"/>
      <c r="AB1373" s="679"/>
      <c r="AC1373" s="679"/>
      <c r="AD1373" s="181">
        <v>1000</v>
      </c>
      <c r="AE1373" s="151"/>
      <c r="AF1373" s="163"/>
      <c r="AG1373" s="153">
        <f>SUM(AD1373:AF1373)</f>
        <v>1000</v>
      </c>
      <c r="AH1373" s="160" t="e">
        <f t="shared" si="123"/>
        <v>#REF!</v>
      </c>
    </row>
    <row r="1374" spans="8:34" hidden="1">
      <c r="H1374" s="2924"/>
      <c r="I1374" s="2924"/>
      <c r="J1374" s="2924"/>
      <c r="K1374" s="2924"/>
      <c r="L1374" s="2925"/>
      <c r="M1374" s="2925"/>
      <c r="N1374" s="2925"/>
      <c r="O1374" s="2925"/>
      <c r="P1374" s="2926"/>
      <c r="Q1374" s="1748"/>
      <c r="R1374" s="2221"/>
      <c r="S1374" s="1748"/>
      <c r="T1374" s="679"/>
      <c r="U1374" s="53"/>
      <c r="V1374" s="53"/>
      <c r="W1374" s="53"/>
      <c r="X1374" s="153" t="e">
        <f>SUM(#REF!)</f>
        <v>#REF!</v>
      </c>
      <c r="Y1374" s="679"/>
      <c r="Z1374" s="679"/>
      <c r="AA1374" s="679"/>
      <c r="AB1374" s="679"/>
      <c r="AC1374" s="679"/>
      <c r="AD1374" s="181">
        <v>4000</v>
      </c>
      <c r="AE1374" s="151"/>
      <c r="AF1374" s="163"/>
      <c r="AG1374" s="153">
        <f>SUM(AD1374:AF1374)</f>
        <v>4000</v>
      </c>
      <c r="AH1374" s="160" t="e">
        <f t="shared" si="123"/>
        <v>#REF!</v>
      </c>
    </row>
    <row r="1375" spans="8:34" hidden="1">
      <c r="H1375" s="2924"/>
      <c r="I1375" s="2924"/>
      <c r="J1375" s="2924"/>
      <c r="K1375" s="2924"/>
      <c r="L1375" s="2925"/>
      <c r="M1375" s="2925"/>
      <c r="N1375" s="2925"/>
      <c r="O1375" s="2925"/>
      <c r="P1375" s="2926"/>
      <c r="Q1375" s="1748"/>
      <c r="R1375" s="2221"/>
      <c r="S1375" s="1748"/>
      <c r="T1375" s="679"/>
      <c r="U1375" s="53"/>
      <c r="V1375" s="53"/>
      <c r="W1375" s="53"/>
      <c r="X1375" s="153"/>
      <c r="Y1375" s="679"/>
      <c r="Z1375" s="679"/>
      <c r="AA1375" s="679"/>
      <c r="AB1375" s="679"/>
      <c r="AC1375" s="679"/>
      <c r="AD1375" s="181"/>
      <c r="AE1375" s="151"/>
      <c r="AF1375" s="163"/>
      <c r="AG1375" s="153"/>
      <c r="AH1375" s="160" t="e">
        <f t="shared" si="123"/>
        <v>#DIV/0!</v>
      </c>
    </row>
    <row r="1376" spans="8:34" hidden="1">
      <c r="H1376" s="2924"/>
      <c r="I1376" s="2924"/>
      <c r="J1376" s="2924"/>
      <c r="K1376" s="2924"/>
      <c r="L1376" s="2925"/>
      <c r="M1376" s="2925"/>
      <c r="N1376" s="2925"/>
      <c r="O1376" s="2925"/>
      <c r="P1376" s="2926"/>
      <c r="Q1376" s="1748"/>
      <c r="R1376" s="2221"/>
      <c r="S1376" s="1748"/>
      <c r="T1376" s="679"/>
      <c r="U1376" s="53"/>
      <c r="V1376" s="53"/>
      <c r="W1376" s="53"/>
      <c r="X1376" s="153" t="e">
        <f>SUM(#REF!)</f>
        <v>#REF!</v>
      </c>
      <c r="Y1376" s="679"/>
      <c r="Z1376" s="679"/>
      <c r="AA1376" s="679"/>
      <c r="AB1376" s="679"/>
      <c r="AC1376" s="679"/>
      <c r="AD1376" s="181"/>
      <c r="AE1376" s="151">
        <v>200000</v>
      </c>
      <c r="AF1376" s="163"/>
      <c r="AG1376" s="153">
        <f t="shared" ref="AG1376:AG1381" si="126">SUM(AD1376:AF1376)</f>
        <v>200000</v>
      </c>
      <c r="AH1376" s="160" t="e">
        <f t="shared" si="123"/>
        <v>#REF!</v>
      </c>
    </row>
    <row r="1377" spans="8:34" hidden="1">
      <c r="H1377" s="2924"/>
      <c r="I1377" s="2924"/>
      <c r="J1377" s="2924"/>
      <c r="K1377" s="2924"/>
      <c r="L1377" s="2925"/>
      <c r="M1377" s="2925"/>
      <c r="N1377" s="2925"/>
      <c r="O1377" s="2925"/>
      <c r="P1377" s="2926"/>
      <c r="Q1377" s="1748"/>
      <c r="R1377" s="2221"/>
      <c r="S1377" s="1748"/>
      <c r="T1377" s="679"/>
      <c r="U1377" s="53"/>
      <c r="V1377" s="53"/>
      <c r="W1377" s="53"/>
      <c r="X1377" s="153" t="e">
        <f>SUM(#REF!)</f>
        <v>#REF!</v>
      </c>
      <c r="Y1377" s="679"/>
      <c r="Z1377" s="679"/>
      <c r="AA1377" s="679"/>
      <c r="AB1377" s="679"/>
      <c r="AC1377" s="679"/>
      <c r="AD1377" s="181"/>
      <c r="AE1377" s="151"/>
      <c r="AF1377" s="163"/>
      <c r="AG1377" s="153">
        <f t="shared" si="126"/>
        <v>0</v>
      </c>
      <c r="AH1377" s="160" t="e">
        <f t="shared" si="123"/>
        <v>#REF!</v>
      </c>
    </row>
    <row r="1378" spans="8:34" hidden="1">
      <c r="H1378" s="2924"/>
      <c r="I1378" s="2924"/>
      <c r="J1378" s="2924"/>
      <c r="K1378" s="2924"/>
      <c r="L1378" s="2925"/>
      <c r="M1378" s="2925"/>
      <c r="N1378" s="2925"/>
      <c r="O1378" s="2925"/>
      <c r="P1378" s="2926"/>
      <c r="Q1378" s="1748"/>
      <c r="R1378" s="2221"/>
      <c r="S1378" s="1748"/>
      <c r="T1378" s="679"/>
      <c r="U1378" s="53"/>
      <c r="V1378" s="53"/>
      <c r="W1378" s="53"/>
      <c r="X1378" s="153" t="e">
        <f>SUM(#REF!)</f>
        <v>#REF!</v>
      </c>
      <c r="Y1378" s="679"/>
      <c r="Z1378" s="679"/>
      <c r="AA1378" s="679"/>
      <c r="AB1378" s="679"/>
      <c r="AC1378" s="679"/>
      <c r="AD1378" s="181">
        <v>5000</v>
      </c>
      <c r="AE1378" s="151"/>
      <c r="AF1378" s="163"/>
      <c r="AG1378" s="153">
        <f t="shared" si="126"/>
        <v>5000</v>
      </c>
      <c r="AH1378" s="160" t="e">
        <f t="shared" si="123"/>
        <v>#REF!</v>
      </c>
    </row>
    <row r="1379" spans="8:34" hidden="1">
      <c r="H1379" s="2924"/>
      <c r="I1379" s="2924"/>
      <c r="J1379" s="2924"/>
      <c r="K1379" s="2924"/>
      <c r="L1379" s="2925"/>
      <c r="M1379" s="2925"/>
      <c r="N1379" s="2925"/>
      <c r="O1379" s="2925"/>
      <c r="P1379" s="2926"/>
      <c r="Q1379" s="1748"/>
      <c r="R1379" s="2221"/>
      <c r="S1379" s="1748"/>
      <c r="T1379" s="679"/>
      <c r="U1379" s="53"/>
      <c r="V1379" s="53"/>
      <c r="W1379" s="53"/>
      <c r="X1379" s="153" t="e">
        <f>SUM(#REF!)</f>
        <v>#REF!</v>
      </c>
      <c r="Y1379" s="679"/>
      <c r="Z1379" s="679"/>
      <c r="AA1379" s="679"/>
      <c r="AB1379" s="679"/>
      <c r="AC1379" s="679"/>
      <c r="AD1379" s="179">
        <v>6000</v>
      </c>
      <c r="AE1379" s="151"/>
      <c r="AF1379" s="163"/>
      <c r="AG1379" s="153">
        <f t="shared" si="126"/>
        <v>6000</v>
      </c>
      <c r="AH1379" s="160" t="e">
        <f t="shared" si="123"/>
        <v>#REF!</v>
      </c>
    </row>
    <row r="1380" spans="8:34" hidden="1">
      <c r="H1380" s="2924"/>
      <c r="I1380" s="2924"/>
      <c r="J1380" s="2924"/>
      <c r="K1380" s="2924"/>
      <c r="L1380" s="2925"/>
      <c r="M1380" s="2925"/>
      <c r="N1380" s="2925"/>
      <c r="O1380" s="2925"/>
      <c r="P1380" s="2926"/>
      <c r="Q1380" s="1748"/>
      <c r="R1380" s="2221"/>
      <c r="S1380" s="1748"/>
      <c r="T1380" s="679"/>
      <c r="U1380" s="53"/>
      <c r="V1380" s="53"/>
      <c r="W1380" s="53"/>
      <c r="X1380" s="153" t="e">
        <f>SUM(#REF!)</f>
        <v>#REF!</v>
      </c>
      <c r="Y1380" s="679"/>
      <c r="Z1380" s="679"/>
      <c r="AA1380" s="679"/>
      <c r="AB1380" s="679"/>
      <c r="AC1380" s="679"/>
      <c r="AD1380" s="181">
        <v>10000</v>
      </c>
      <c r="AE1380" s="151"/>
      <c r="AF1380" s="163"/>
      <c r="AG1380" s="153">
        <f t="shared" si="126"/>
        <v>10000</v>
      </c>
      <c r="AH1380" s="160" t="e">
        <f t="shared" si="123"/>
        <v>#REF!</v>
      </c>
    </row>
    <row r="1381" spans="8:34" hidden="1">
      <c r="H1381" s="2924"/>
      <c r="I1381" s="2924"/>
      <c r="J1381" s="2924"/>
      <c r="K1381" s="2924"/>
      <c r="L1381" s="2925"/>
      <c r="M1381" s="2925"/>
      <c r="N1381" s="2925"/>
      <c r="O1381" s="2925"/>
      <c r="P1381" s="2926"/>
      <c r="Q1381" s="1748"/>
      <c r="R1381" s="2221"/>
      <c r="S1381" s="1748"/>
      <c r="T1381" s="679"/>
      <c r="U1381" s="53"/>
      <c r="V1381" s="53"/>
      <c r="W1381" s="53"/>
      <c r="X1381" s="153" t="e">
        <f>SUM(#REF!)</f>
        <v>#REF!</v>
      </c>
      <c r="Y1381" s="679"/>
      <c r="Z1381" s="679"/>
      <c r="AA1381" s="679"/>
      <c r="AB1381" s="679"/>
      <c r="AC1381" s="679"/>
      <c r="AD1381" s="181">
        <v>10000</v>
      </c>
      <c r="AE1381" s="151"/>
      <c r="AF1381" s="163"/>
      <c r="AG1381" s="153">
        <f t="shared" si="126"/>
        <v>10000</v>
      </c>
      <c r="AH1381" s="160" t="e">
        <f t="shared" si="123"/>
        <v>#REF!</v>
      </c>
    </row>
    <row r="1382" spans="8:34" hidden="1">
      <c r="H1382" s="2924"/>
      <c r="I1382" s="2924"/>
      <c r="J1382" s="2924"/>
      <c r="K1382" s="2924"/>
      <c r="L1382" s="2925"/>
      <c r="M1382" s="2925"/>
      <c r="N1382" s="2925"/>
      <c r="O1382" s="2925"/>
      <c r="P1382" s="2926"/>
      <c r="Q1382" s="1748"/>
      <c r="R1382" s="2221"/>
      <c r="S1382" s="1748"/>
      <c r="T1382" s="679"/>
      <c r="U1382" s="53"/>
      <c r="V1382" s="53"/>
      <c r="W1382" s="53"/>
      <c r="X1382" s="153"/>
      <c r="Y1382" s="679"/>
      <c r="Z1382" s="679"/>
      <c r="AA1382" s="679"/>
      <c r="AB1382" s="679"/>
      <c r="AC1382" s="679"/>
      <c r="AD1382" s="181"/>
      <c r="AE1382" s="151"/>
      <c r="AF1382" s="163"/>
      <c r="AG1382" s="153"/>
      <c r="AH1382" s="160"/>
    </row>
    <row r="1383" spans="8:34" hidden="1">
      <c r="H1383" s="2924"/>
      <c r="I1383" s="2924"/>
      <c r="J1383" s="2924"/>
      <c r="K1383" s="2924"/>
      <c r="L1383" s="2925"/>
      <c r="M1383" s="2925"/>
      <c r="N1383" s="2925"/>
      <c r="O1383" s="2925"/>
      <c r="P1383" s="2926"/>
      <c r="Q1383" s="1748"/>
      <c r="R1383" s="2221"/>
      <c r="S1383" s="1748"/>
      <c r="T1383" s="679"/>
      <c r="U1383" s="53"/>
      <c r="V1383" s="53"/>
      <c r="W1383" s="53"/>
      <c r="X1383" s="153"/>
      <c r="Y1383" s="679"/>
      <c r="Z1383" s="679"/>
      <c r="AA1383" s="679"/>
      <c r="AB1383" s="679"/>
      <c r="AC1383" s="679"/>
      <c r="AD1383" s="181"/>
      <c r="AE1383" s="151"/>
      <c r="AF1383" s="163"/>
      <c r="AG1383" s="153"/>
      <c r="AH1383" s="160"/>
    </row>
    <row r="1384" spans="8:34" hidden="1">
      <c r="H1384" s="2924"/>
      <c r="I1384" s="2924"/>
      <c r="J1384" s="2924"/>
      <c r="K1384" s="2924"/>
      <c r="L1384" s="2925"/>
      <c r="M1384" s="2925"/>
      <c r="N1384" s="2925"/>
      <c r="O1384" s="2925"/>
      <c r="P1384" s="2926"/>
      <c r="Q1384" s="1748"/>
      <c r="R1384" s="2221"/>
      <c r="S1384" s="1748"/>
      <c r="T1384" s="679"/>
      <c r="U1384" s="53"/>
      <c r="V1384" s="53"/>
      <c r="W1384" s="53"/>
      <c r="X1384" s="153"/>
      <c r="Y1384" s="679"/>
      <c r="Z1384" s="679"/>
      <c r="AA1384" s="679"/>
      <c r="AB1384" s="679"/>
      <c r="AC1384" s="679"/>
      <c r="AD1384" s="181"/>
      <c r="AE1384" s="151"/>
      <c r="AF1384" s="163"/>
      <c r="AG1384" s="153"/>
      <c r="AH1384" s="160"/>
    </row>
    <row r="1385" spans="8:34" hidden="1">
      <c r="H1385" s="2909"/>
      <c r="I1385" s="2909"/>
      <c r="J1385" s="2909"/>
      <c r="K1385" s="2909"/>
      <c r="L1385" s="2910"/>
      <c r="M1385" s="2910"/>
      <c r="N1385" s="2910"/>
      <c r="O1385" s="2910"/>
      <c r="P1385" s="2911"/>
      <c r="Q1385" s="1260"/>
      <c r="R1385" s="2216"/>
      <c r="S1385" s="1260"/>
      <c r="T1385" s="446"/>
      <c r="U1385" s="70"/>
      <c r="V1385" s="70"/>
      <c r="W1385" s="70"/>
      <c r="X1385" s="145" t="e">
        <f t="shared" ref="X1385:AG1385" si="127">SUM(X1386:X1405)</f>
        <v>#REF!</v>
      </c>
      <c r="Y1385" s="446"/>
      <c r="Z1385" s="446"/>
      <c r="AA1385" s="446"/>
      <c r="AB1385" s="446"/>
      <c r="AC1385" s="446"/>
      <c r="AD1385" s="150">
        <f t="shared" si="127"/>
        <v>548500</v>
      </c>
      <c r="AE1385" s="147">
        <f t="shared" si="127"/>
        <v>100000</v>
      </c>
      <c r="AF1385" s="162">
        <f t="shared" si="127"/>
        <v>0</v>
      </c>
      <c r="AG1385" s="145">
        <f t="shared" si="127"/>
        <v>648500</v>
      </c>
      <c r="AH1385" s="160" t="e">
        <f t="shared" ref="AH1385:AH1392" si="128">AG1385/X1385*100</f>
        <v>#REF!</v>
      </c>
    </row>
    <row r="1386" spans="8:34" hidden="1">
      <c r="H1386" s="2909"/>
      <c r="I1386" s="2909"/>
      <c r="J1386" s="2909"/>
      <c r="K1386" s="2909"/>
      <c r="L1386" s="2910"/>
      <c r="M1386" s="2910"/>
      <c r="N1386" s="2910"/>
      <c r="O1386" s="2910"/>
      <c r="P1386" s="2911"/>
      <c r="Q1386" s="1260"/>
      <c r="R1386" s="2216"/>
      <c r="S1386" s="1260"/>
      <c r="T1386" s="446"/>
      <c r="U1386" s="70"/>
      <c r="V1386" s="70"/>
      <c r="W1386" s="70"/>
      <c r="X1386" s="153" t="e">
        <f>SUM(#REF!)</f>
        <v>#REF!</v>
      </c>
      <c r="Y1386" s="679"/>
      <c r="Z1386" s="679"/>
      <c r="AA1386" s="679"/>
      <c r="AB1386" s="679"/>
      <c r="AC1386" s="679"/>
      <c r="AD1386" s="182">
        <v>7500</v>
      </c>
      <c r="AE1386" s="147"/>
      <c r="AF1386" s="162"/>
      <c r="AG1386" s="153">
        <f>SUM(AD1386:AF1386)</f>
        <v>7500</v>
      </c>
      <c r="AH1386" s="160" t="e">
        <f t="shared" si="128"/>
        <v>#REF!</v>
      </c>
    </row>
    <row r="1387" spans="8:34" hidden="1">
      <c r="H1387" s="2909"/>
      <c r="I1387" s="2909"/>
      <c r="J1387" s="2909"/>
      <c r="K1387" s="2909"/>
      <c r="L1387" s="2910"/>
      <c r="M1387" s="2910"/>
      <c r="N1387" s="2910"/>
      <c r="O1387" s="2910"/>
      <c r="P1387" s="2911"/>
      <c r="Q1387" s="1260"/>
      <c r="R1387" s="2216"/>
      <c r="S1387" s="1260"/>
      <c r="T1387" s="446"/>
      <c r="U1387" s="70"/>
      <c r="V1387" s="70"/>
      <c r="W1387" s="70"/>
      <c r="X1387" s="153" t="e">
        <f>SUM(#REF!)</f>
        <v>#REF!</v>
      </c>
      <c r="Y1387" s="679"/>
      <c r="Z1387" s="679"/>
      <c r="AA1387" s="679"/>
      <c r="AB1387" s="679"/>
      <c r="AC1387" s="679"/>
      <c r="AD1387" s="182">
        <v>2000</v>
      </c>
      <c r="AE1387" s="147"/>
      <c r="AF1387" s="162"/>
      <c r="AG1387" s="153">
        <f>SUM(AD1387:AF1387)</f>
        <v>2000</v>
      </c>
      <c r="AH1387" s="160" t="e">
        <f t="shared" si="128"/>
        <v>#REF!</v>
      </c>
    </row>
    <row r="1388" spans="8:34" hidden="1">
      <c r="H1388" s="2924"/>
      <c r="I1388" s="2924"/>
      <c r="J1388" s="2924"/>
      <c r="K1388" s="2924"/>
      <c r="L1388" s="2925"/>
      <c r="M1388" s="2925"/>
      <c r="N1388" s="2925"/>
      <c r="O1388" s="2925"/>
      <c r="P1388" s="2926"/>
      <c r="Q1388" s="1748"/>
      <c r="R1388" s="2221"/>
      <c r="S1388" s="1748"/>
      <c r="T1388" s="679"/>
      <c r="U1388" s="53"/>
      <c r="V1388" s="53"/>
      <c r="W1388" s="53"/>
      <c r="X1388" s="153"/>
      <c r="Y1388" s="679"/>
      <c r="Z1388" s="679"/>
      <c r="AA1388" s="679"/>
      <c r="AB1388" s="679"/>
      <c r="AC1388" s="679"/>
      <c r="AD1388" s="181"/>
      <c r="AE1388" s="151"/>
      <c r="AF1388" s="163"/>
      <c r="AG1388" s="153"/>
      <c r="AH1388" s="160" t="e">
        <f t="shared" si="128"/>
        <v>#DIV/0!</v>
      </c>
    </row>
    <row r="1389" spans="8:34" hidden="1">
      <c r="H1389" s="2924"/>
      <c r="I1389" s="2924"/>
      <c r="J1389" s="2924"/>
      <c r="K1389" s="2924"/>
      <c r="L1389" s="2925"/>
      <c r="M1389" s="2925"/>
      <c r="N1389" s="2925"/>
      <c r="O1389" s="2925"/>
      <c r="P1389" s="2926"/>
      <c r="Q1389" s="1748"/>
      <c r="R1389" s="2221"/>
      <c r="S1389" s="1748"/>
      <c r="T1389" s="679"/>
      <c r="U1389" s="53"/>
      <c r="V1389" s="53"/>
      <c r="W1389" s="53"/>
      <c r="X1389" s="153"/>
      <c r="Y1389" s="679"/>
      <c r="Z1389" s="679"/>
      <c r="AA1389" s="679"/>
      <c r="AB1389" s="679"/>
      <c r="AC1389" s="679"/>
      <c r="AD1389" s="181"/>
      <c r="AE1389" s="151"/>
      <c r="AF1389" s="163"/>
      <c r="AG1389" s="153"/>
      <c r="AH1389" s="160" t="e">
        <f t="shared" si="128"/>
        <v>#DIV/0!</v>
      </c>
    </row>
    <row r="1390" spans="8:34" hidden="1">
      <c r="H1390" s="2924"/>
      <c r="I1390" s="2924"/>
      <c r="J1390" s="2924"/>
      <c r="K1390" s="2924"/>
      <c r="L1390" s="2925"/>
      <c r="M1390" s="2925"/>
      <c r="N1390" s="2925"/>
      <c r="O1390" s="2925"/>
      <c r="P1390" s="2926"/>
      <c r="Q1390" s="1748"/>
      <c r="R1390" s="2221"/>
      <c r="S1390" s="1748"/>
      <c r="T1390" s="679"/>
      <c r="U1390" s="53"/>
      <c r="V1390" s="53"/>
      <c r="W1390" s="53"/>
      <c r="X1390" s="153" t="e">
        <f>SUM(#REF!)</f>
        <v>#REF!</v>
      </c>
      <c r="Y1390" s="679"/>
      <c r="Z1390" s="679"/>
      <c r="AA1390" s="679"/>
      <c r="AB1390" s="679"/>
      <c r="AC1390" s="679"/>
      <c r="AD1390" s="183">
        <v>75000</v>
      </c>
      <c r="AE1390" s="151"/>
      <c r="AF1390" s="163"/>
      <c r="AG1390" s="153">
        <f t="shared" ref="AG1390:AG1395" si="129">SUM(AD1390:AF1390)</f>
        <v>75000</v>
      </c>
      <c r="AH1390" s="160" t="e">
        <f t="shared" si="128"/>
        <v>#REF!</v>
      </c>
    </row>
    <row r="1391" spans="8:34" hidden="1">
      <c r="H1391" s="2924"/>
      <c r="I1391" s="2924"/>
      <c r="J1391" s="2924"/>
      <c r="K1391" s="2924"/>
      <c r="L1391" s="2925"/>
      <c r="M1391" s="2925"/>
      <c r="N1391" s="2925"/>
      <c r="O1391" s="2925"/>
      <c r="P1391" s="2926"/>
      <c r="Q1391" s="1748"/>
      <c r="R1391" s="2221"/>
      <c r="S1391" s="1748"/>
      <c r="T1391" s="679"/>
      <c r="U1391" s="53"/>
      <c r="V1391" s="53"/>
      <c r="W1391" s="53"/>
      <c r="X1391" s="153" t="e">
        <f>SUM(#REF!)</f>
        <v>#REF!</v>
      </c>
      <c r="Y1391" s="679"/>
      <c r="Z1391" s="679"/>
      <c r="AA1391" s="679"/>
      <c r="AB1391" s="679"/>
      <c r="AC1391" s="679"/>
      <c r="AD1391" s="181"/>
      <c r="AE1391" s="151"/>
      <c r="AF1391" s="163"/>
      <c r="AG1391" s="153">
        <f t="shared" si="129"/>
        <v>0</v>
      </c>
      <c r="AH1391" s="160" t="e">
        <f t="shared" si="128"/>
        <v>#REF!</v>
      </c>
    </row>
    <row r="1392" spans="8:34" hidden="1">
      <c r="H1392" s="2924"/>
      <c r="I1392" s="2924"/>
      <c r="J1392" s="2924"/>
      <c r="K1392" s="2924"/>
      <c r="L1392" s="2925"/>
      <c r="M1392" s="2925"/>
      <c r="N1392" s="2925"/>
      <c r="O1392" s="2925"/>
      <c r="P1392" s="2926"/>
      <c r="Q1392" s="1748"/>
      <c r="R1392" s="2221"/>
      <c r="S1392" s="1748"/>
      <c r="T1392" s="679"/>
      <c r="U1392" s="53"/>
      <c r="V1392" s="53"/>
      <c r="W1392" s="53"/>
      <c r="X1392" s="153" t="e">
        <f>SUM(#REF!)</f>
        <v>#REF!</v>
      </c>
      <c r="Y1392" s="679"/>
      <c r="Z1392" s="679"/>
      <c r="AA1392" s="679"/>
      <c r="AB1392" s="679"/>
      <c r="AC1392" s="679"/>
      <c r="AD1392" s="181"/>
      <c r="AE1392" s="151"/>
      <c r="AF1392" s="163"/>
      <c r="AG1392" s="153">
        <f t="shared" si="129"/>
        <v>0</v>
      </c>
      <c r="AH1392" s="160" t="e">
        <f t="shared" si="128"/>
        <v>#REF!</v>
      </c>
    </row>
    <row r="1393" spans="8:34" hidden="1">
      <c r="H1393" s="2924"/>
      <c r="I1393" s="2924"/>
      <c r="J1393" s="2924"/>
      <c r="K1393" s="2924"/>
      <c r="L1393" s="2925"/>
      <c r="M1393" s="2925"/>
      <c r="N1393" s="2925"/>
      <c r="O1393" s="2925"/>
      <c r="P1393" s="2926"/>
      <c r="Q1393" s="1748"/>
      <c r="R1393" s="2221"/>
      <c r="S1393" s="1748"/>
      <c r="T1393" s="679"/>
      <c r="U1393" s="53"/>
      <c r="V1393" s="53"/>
      <c r="W1393" s="53"/>
      <c r="X1393" s="153"/>
      <c r="Y1393" s="679"/>
      <c r="Z1393" s="679"/>
      <c r="AA1393" s="679"/>
      <c r="AB1393" s="679"/>
      <c r="AC1393" s="679"/>
      <c r="AD1393" s="150"/>
      <c r="AE1393" s="147"/>
      <c r="AF1393" s="162"/>
      <c r="AG1393" s="153"/>
      <c r="AH1393" s="160"/>
    </row>
    <row r="1394" spans="8:34" hidden="1">
      <c r="H1394" s="2909"/>
      <c r="I1394" s="2909"/>
      <c r="J1394" s="2909"/>
      <c r="K1394" s="2909"/>
      <c r="L1394" s="2910"/>
      <c r="M1394" s="2910"/>
      <c r="N1394" s="2910"/>
      <c r="O1394" s="2910"/>
      <c r="P1394" s="2911"/>
      <c r="Q1394" s="1260"/>
      <c r="R1394" s="2216"/>
      <c r="S1394" s="1260"/>
      <c r="T1394" s="446"/>
      <c r="U1394" s="70"/>
      <c r="V1394" s="70"/>
      <c r="W1394" s="70"/>
      <c r="X1394" s="145" t="e">
        <f>SUM(#REF!)</f>
        <v>#REF!</v>
      </c>
      <c r="Y1394" s="446"/>
      <c r="Z1394" s="446"/>
      <c r="AA1394" s="446"/>
      <c r="AB1394" s="446"/>
      <c r="AC1394" s="446"/>
      <c r="AD1394" s="184">
        <v>100000</v>
      </c>
      <c r="AE1394" s="147"/>
      <c r="AF1394" s="162"/>
      <c r="AG1394" s="145">
        <f t="shared" si="129"/>
        <v>100000</v>
      </c>
      <c r="AH1394" s="160" t="e">
        <f>AG1394/X1394*100</f>
        <v>#REF!</v>
      </c>
    </row>
    <row r="1395" spans="8:34" hidden="1">
      <c r="H1395" s="2909"/>
      <c r="I1395" s="2909"/>
      <c r="J1395" s="2909"/>
      <c r="K1395" s="2909"/>
      <c r="L1395" s="2910"/>
      <c r="M1395" s="2910"/>
      <c r="N1395" s="2910"/>
      <c r="O1395" s="2910"/>
      <c r="P1395" s="2911"/>
      <c r="Q1395" s="1260"/>
      <c r="R1395" s="2216"/>
      <c r="S1395" s="1260"/>
      <c r="T1395" s="446"/>
      <c r="U1395" s="70"/>
      <c r="V1395" s="70"/>
      <c r="W1395" s="70"/>
      <c r="X1395" s="145" t="e">
        <f>SUM(#REF!)</f>
        <v>#REF!</v>
      </c>
      <c r="Y1395" s="446"/>
      <c r="Z1395" s="446"/>
      <c r="AA1395" s="446"/>
      <c r="AB1395" s="446"/>
      <c r="AC1395" s="446"/>
      <c r="AD1395" s="184">
        <v>364000</v>
      </c>
      <c r="AE1395" s="147"/>
      <c r="AF1395" s="162"/>
      <c r="AG1395" s="145">
        <f t="shared" si="129"/>
        <v>364000</v>
      </c>
      <c r="AH1395" s="160" t="e">
        <f>AG1395/X1395*100</f>
        <v>#REF!</v>
      </c>
    </row>
    <row r="1396" spans="8:34" hidden="1">
      <c r="H1396" s="2909"/>
      <c r="I1396" s="2909"/>
      <c r="J1396" s="2909"/>
      <c r="K1396" s="2909"/>
      <c r="L1396" s="2910"/>
      <c r="M1396" s="2910"/>
      <c r="N1396" s="2910"/>
      <c r="O1396" s="2910"/>
      <c r="P1396" s="2911"/>
      <c r="Q1396" s="1260"/>
      <c r="R1396" s="2216"/>
      <c r="S1396" s="1260"/>
      <c r="T1396" s="446"/>
      <c r="U1396" s="70"/>
      <c r="V1396" s="70"/>
      <c r="W1396" s="70"/>
      <c r="X1396" s="145"/>
      <c r="Y1396" s="446"/>
      <c r="Z1396" s="446"/>
      <c r="AA1396" s="446"/>
      <c r="AB1396" s="446"/>
      <c r="AC1396" s="446"/>
      <c r="AD1396" s="150"/>
      <c r="AE1396" s="147"/>
      <c r="AF1396" s="162"/>
      <c r="AG1396" s="145"/>
      <c r="AH1396" s="160"/>
    </row>
    <row r="1397" spans="8:34" hidden="1">
      <c r="H1397" s="2909"/>
      <c r="I1397" s="2909"/>
      <c r="J1397" s="2909"/>
      <c r="K1397" s="2909"/>
      <c r="L1397" s="2910"/>
      <c r="M1397" s="2910"/>
      <c r="N1397" s="2910"/>
      <c r="O1397" s="2910"/>
      <c r="P1397" s="2911"/>
      <c r="Q1397" s="1260"/>
      <c r="R1397" s="2216"/>
      <c r="S1397" s="1260"/>
      <c r="T1397" s="446"/>
      <c r="U1397" s="70"/>
      <c r="V1397" s="70"/>
      <c r="W1397" s="70"/>
      <c r="X1397" s="145" t="e">
        <f>#REF!+#REF!+#REF!</f>
        <v>#REF!</v>
      </c>
      <c r="Y1397" s="446"/>
      <c r="Z1397" s="446"/>
      <c r="AA1397" s="446"/>
      <c r="AB1397" s="446"/>
      <c r="AC1397" s="446"/>
      <c r="AD1397" s="150"/>
      <c r="AE1397" s="147"/>
      <c r="AF1397" s="162"/>
      <c r="AG1397" s="145">
        <f t="shared" ref="AG1397:AG1405" si="130">AD1397+AE1397+AF1397</f>
        <v>0</v>
      </c>
      <c r="AH1397" s="160" t="e">
        <f t="shared" ref="AH1397:AH1428" si="131">AG1397/X1397*100</f>
        <v>#REF!</v>
      </c>
    </row>
    <row r="1398" spans="8:34" hidden="1">
      <c r="H1398" s="2909"/>
      <c r="I1398" s="2909"/>
      <c r="J1398" s="2909"/>
      <c r="K1398" s="2909"/>
      <c r="L1398" s="2910"/>
      <c r="M1398" s="2910"/>
      <c r="N1398" s="2910"/>
      <c r="O1398" s="2910"/>
      <c r="P1398" s="2911"/>
      <c r="Q1398" s="1260"/>
      <c r="R1398" s="2216"/>
      <c r="S1398" s="1260"/>
      <c r="T1398" s="446"/>
      <c r="U1398" s="70"/>
      <c r="V1398" s="70"/>
      <c r="W1398" s="70"/>
      <c r="X1398" s="145" t="e">
        <f>#REF!+#REF!+#REF!</f>
        <v>#REF!</v>
      </c>
      <c r="Y1398" s="446"/>
      <c r="Z1398" s="446"/>
      <c r="AA1398" s="446"/>
      <c r="AB1398" s="446"/>
      <c r="AC1398" s="446"/>
      <c r="AD1398" s="150"/>
      <c r="AE1398" s="147"/>
      <c r="AF1398" s="162"/>
      <c r="AG1398" s="145">
        <f t="shared" si="130"/>
        <v>0</v>
      </c>
      <c r="AH1398" s="160" t="e">
        <f t="shared" si="131"/>
        <v>#REF!</v>
      </c>
    </row>
    <row r="1399" spans="8:34" hidden="1">
      <c r="H1399" s="2909"/>
      <c r="I1399" s="2909"/>
      <c r="J1399" s="2909"/>
      <c r="K1399" s="2909"/>
      <c r="L1399" s="2910"/>
      <c r="M1399" s="2910"/>
      <c r="N1399" s="2910"/>
      <c r="O1399" s="2910"/>
      <c r="P1399" s="2911"/>
      <c r="Q1399" s="1260"/>
      <c r="R1399" s="2216"/>
      <c r="S1399" s="1260"/>
      <c r="T1399" s="446"/>
      <c r="U1399" s="70"/>
      <c r="V1399" s="70"/>
      <c r="W1399" s="70"/>
      <c r="X1399" s="145" t="e">
        <f>#REF!+#REF!+#REF!</f>
        <v>#REF!</v>
      </c>
      <c r="Y1399" s="446"/>
      <c r="Z1399" s="446"/>
      <c r="AA1399" s="446"/>
      <c r="AB1399" s="446"/>
      <c r="AC1399" s="446"/>
      <c r="AD1399" s="150"/>
      <c r="AE1399" s="147"/>
      <c r="AF1399" s="162"/>
      <c r="AG1399" s="145">
        <f t="shared" si="130"/>
        <v>0</v>
      </c>
      <c r="AH1399" s="160" t="e">
        <f t="shared" si="131"/>
        <v>#REF!</v>
      </c>
    </row>
    <row r="1400" spans="8:34" hidden="1">
      <c r="H1400" s="2909"/>
      <c r="I1400" s="2909"/>
      <c r="J1400" s="2909"/>
      <c r="K1400" s="2909"/>
      <c r="L1400" s="2910"/>
      <c r="M1400" s="2910"/>
      <c r="N1400" s="2910"/>
      <c r="O1400" s="2910"/>
      <c r="P1400" s="2911"/>
      <c r="Q1400" s="1260"/>
      <c r="R1400" s="2216"/>
      <c r="S1400" s="1260"/>
      <c r="T1400" s="446"/>
      <c r="U1400" s="70"/>
      <c r="V1400" s="70"/>
      <c r="W1400" s="70"/>
      <c r="X1400" s="145" t="e">
        <f>#REF!+#REF!+#REF!</f>
        <v>#REF!</v>
      </c>
      <c r="Y1400" s="446"/>
      <c r="Z1400" s="446"/>
      <c r="AA1400" s="446"/>
      <c r="AB1400" s="446"/>
      <c r="AC1400" s="446"/>
      <c r="AD1400" s="150"/>
      <c r="AE1400" s="147"/>
      <c r="AF1400" s="162"/>
      <c r="AG1400" s="145">
        <f t="shared" si="130"/>
        <v>0</v>
      </c>
      <c r="AH1400" s="160" t="e">
        <f t="shared" si="131"/>
        <v>#REF!</v>
      </c>
    </row>
    <row r="1401" spans="8:34" hidden="1">
      <c r="H1401" s="2909"/>
      <c r="I1401" s="2909"/>
      <c r="J1401" s="2909"/>
      <c r="K1401" s="2909"/>
      <c r="L1401" s="2910"/>
      <c r="M1401" s="2910"/>
      <c r="N1401" s="2910"/>
      <c r="O1401" s="2910"/>
      <c r="P1401" s="2911"/>
      <c r="Q1401" s="1260"/>
      <c r="R1401" s="2216"/>
      <c r="S1401" s="1260"/>
      <c r="T1401" s="446"/>
      <c r="U1401" s="70"/>
      <c r="V1401" s="70"/>
      <c r="W1401" s="70"/>
      <c r="X1401" s="145" t="e">
        <f>#REF!+#REF!+#REF!</f>
        <v>#REF!</v>
      </c>
      <c r="Y1401" s="446"/>
      <c r="Z1401" s="446"/>
      <c r="AA1401" s="446"/>
      <c r="AB1401" s="446"/>
      <c r="AC1401" s="446"/>
      <c r="AD1401" s="150"/>
      <c r="AE1401" s="147">
        <v>100000</v>
      </c>
      <c r="AF1401" s="162"/>
      <c r="AG1401" s="145">
        <f t="shared" si="130"/>
        <v>100000</v>
      </c>
      <c r="AH1401" s="160" t="e">
        <f t="shared" si="131"/>
        <v>#REF!</v>
      </c>
    </row>
    <row r="1402" spans="8:34" hidden="1">
      <c r="H1402" s="2909"/>
      <c r="I1402" s="2909"/>
      <c r="J1402" s="2909"/>
      <c r="K1402" s="2909"/>
      <c r="L1402" s="2910"/>
      <c r="M1402" s="2910"/>
      <c r="N1402" s="2910"/>
      <c r="O1402" s="2910"/>
      <c r="P1402" s="2911"/>
      <c r="Q1402" s="1260"/>
      <c r="R1402" s="2216"/>
      <c r="S1402" s="1260"/>
      <c r="T1402" s="446"/>
      <c r="U1402" s="70"/>
      <c r="V1402" s="70"/>
      <c r="W1402" s="70"/>
      <c r="X1402" s="145" t="e">
        <f>#REF!+#REF!+#REF!</f>
        <v>#REF!</v>
      </c>
      <c r="Y1402" s="446"/>
      <c r="Z1402" s="446"/>
      <c r="AA1402" s="446"/>
      <c r="AB1402" s="446"/>
      <c r="AC1402" s="446"/>
      <c r="AD1402" s="150"/>
      <c r="AE1402" s="147"/>
      <c r="AF1402" s="162"/>
      <c r="AG1402" s="145">
        <f t="shared" si="130"/>
        <v>0</v>
      </c>
      <c r="AH1402" s="160" t="e">
        <f t="shared" si="131"/>
        <v>#REF!</v>
      </c>
    </row>
    <row r="1403" spans="8:34" hidden="1">
      <c r="H1403" s="2909"/>
      <c r="I1403" s="2909"/>
      <c r="J1403" s="2909"/>
      <c r="K1403" s="2909"/>
      <c r="L1403" s="2910"/>
      <c r="M1403" s="2910"/>
      <c r="N1403" s="2910"/>
      <c r="O1403" s="2910"/>
      <c r="P1403" s="2911"/>
      <c r="Q1403" s="1260"/>
      <c r="R1403" s="2216"/>
      <c r="S1403" s="1260"/>
      <c r="T1403" s="446"/>
      <c r="U1403" s="70"/>
      <c r="V1403" s="70"/>
      <c r="W1403" s="70"/>
      <c r="X1403" s="145" t="e">
        <f>#REF!+#REF!+#REF!</f>
        <v>#REF!</v>
      </c>
      <c r="Y1403" s="446"/>
      <c r="Z1403" s="446"/>
      <c r="AA1403" s="446"/>
      <c r="AB1403" s="446"/>
      <c r="AC1403" s="446"/>
      <c r="AD1403" s="150"/>
      <c r="AE1403" s="147"/>
      <c r="AF1403" s="162"/>
      <c r="AG1403" s="145">
        <f t="shared" si="130"/>
        <v>0</v>
      </c>
      <c r="AH1403" s="160" t="e">
        <f t="shared" si="131"/>
        <v>#REF!</v>
      </c>
    </row>
    <row r="1404" spans="8:34" hidden="1">
      <c r="H1404" s="2909"/>
      <c r="I1404" s="2909"/>
      <c r="J1404" s="2909"/>
      <c r="K1404" s="2909"/>
      <c r="L1404" s="2910"/>
      <c r="M1404" s="2910"/>
      <c r="N1404" s="2910"/>
      <c r="O1404" s="2910"/>
      <c r="P1404" s="2911"/>
      <c r="Q1404" s="1260"/>
      <c r="R1404" s="2216"/>
      <c r="S1404" s="1260"/>
      <c r="T1404" s="446"/>
      <c r="U1404" s="70"/>
      <c r="V1404" s="70"/>
      <c r="W1404" s="70"/>
      <c r="X1404" s="145" t="e">
        <f>#REF!+#REF!+#REF!</f>
        <v>#REF!</v>
      </c>
      <c r="Y1404" s="446"/>
      <c r="Z1404" s="446"/>
      <c r="AA1404" s="446"/>
      <c r="AB1404" s="446"/>
      <c r="AC1404" s="446"/>
      <c r="AD1404" s="150"/>
      <c r="AE1404" s="147"/>
      <c r="AF1404" s="162"/>
      <c r="AG1404" s="145">
        <f t="shared" si="130"/>
        <v>0</v>
      </c>
      <c r="AH1404" s="160" t="e">
        <f t="shared" si="131"/>
        <v>#REF!</v>
      </c>
    </row>
    <row r="1405" spans="8:34" hidden="1">
      <c r="H1405" s="2909"/>
      <c r="I1405" s="2909"/>
      <c r="J1405" s="2909"/>
      <c r="K1405" s="2909"/>
      <c r="L1405" s="2910"/>
      <c r="M1405" s="2910"/>
      <c r="N1405" s="2910"/>
      <c r="O1405" s="2910"/>
      <c r="P1405" s="2911"/>
      <c r="Q1405" s="1260"/>
      <c r="R1405" s="2216"/>
      <c r="S1405" s="1260"/>
      <c r="T1405" s="446"/>
      <c r="U1405" s="70"/>
      <c r="V1405" s="70"/>
      <c r="W1405" s="70"/>
      <c r="X1405" s="145" t="e">
        <f>#REF!+#REF!+#REF!</f>
        <v>#REF!</v>
      </c>
      <c r="Y1405" s="446"/>
      <c r="Z1405" s="446"/>
      <c r="AA1405" s="446"/>
      <c r="AB1405" s="446"/>
      <c r="AC1405" s="446"/>
      <c r="AD1405" s="150"/>
      <c r="AE1405" s="147"/>
      <c r="AF1405" s="162"/>
      <c r="AG1405" s="145">
        <f t="shared" si="130"/>
        <v>0</v>
      </c>
      <c r="AH1405" s="160" t="e">
        <f t="shared" si="131"/>
        <v>#REF!</v>
      </c>
    </row>
    <row r="1406" spans="8:34" hidden="1">
      <c r="H1406" s="2909"/>
      <c r="I1406" s="2909"/>
      <c r="J1406" s="2909"/>
      <c r="K1406" s="2909"/>
      <c r="L1406" s="2910"/>
      <c r="M1406" s="2910"/>
      <c r="N1406" s="2910"/>
      <c r="O1406" s="2910"/>
      <c r="P1406" s="2911"/>
      <c r="Q1406" s="1260"/>
      <c r="R1406" s="2216"/>
      <c r="S1406" s="1260"/>
      <c r="T1406" s="446"/>
      <c r="U1406" s="70"/>
      <c r="V1406" s="70"/>
      <c r="W1406" s="70"/>
      <c r="X1406" s="145" t="e">
        <f>SUM(X1407,X1438:X1457)</f>
        <v>#REF!</v>
      </c>
      <c r="Y1406" s="446"/>
      <c r="Z1406" s="446"/>
      <c r="AA1406" s="446"/>
      <c r="AB1406" s="446"/>
      <c r="AC1406" s="446"/>
      <c r="AD1406" s="150">
        <f>SUM(AD1407,AD1438:AD1455)</f>
        <v>0</v>
      </c>
      <c r="AE1406" s="147">
        <f>SUM(AE1407,AE1438:AE1455,AE1456:AE1457)</f>
        <v>5657415</v>
      </c>
      <c r="AF1406" s="162">
        <f>SUM(AF1407,AF1438:AF1455,AF1456:AF1457)</f>
        <v>5470136</v>
      </c>
      <c r="AG1406" s="145">
        <f>SUM(AG1407,AG1438:AG1457)</f>
        <v>11127551</v>
      </c>
      <c r="AH1406" s="160" t="e">
        <f t="shared" si="131"/>
        <v>#REF!</v>
      </c>
    </row>
    <row r="1407" spans="8:34" hidden="1">
      <c r="H1407" s="2909"/>
      <c r="I1407" s="2909"/>
      <c r="J1407" s="2909"/>
      <c r="K1407" s="2909"/>
      <c r="L1407" s="2910"/>
      <c r="M1407" s="2910"/>
      <c r="N1407" s="2910"/>
      <c r="O1407" s="2910"/>
      <c r="P1407" s="2911"/>
      <c r="Q1407" s="1260"/>
      <c r="R1407" s="2216"/>
      <c r="S1407" s="1260"/>
      <c r="T1407" s="446"/>
      <c r="U1407" s="70"/>
      <c r="V1407" s="70"/>
      <c r="W1407" s="70"/>
      <c r="X1407" s="145" t="e">
        <f t="shared" ref="X1407:AG1407" si="132">SUM(X1408,X1412,X1415,X1419,X1423,X1427,X1431,X1435)</f>
        <v>#REF!</v>
      </c>
      <c r="Y1407" s="446"/>
      <c r="Z1407" s="446"/>
      <c r="AA1407" s="446"/>
      <c r="AB1407" s="446"/>
      <c r="AC1407" s="446"/>
      <c r="AD1407" s="150">
        <f t="shared" si="132"/>
        <v>0</v>
      </c>
      <c r="AE1407" s="147">
        <f t="shared" si="132"/>
        <v>3787415</v>
      </c>
      <c r="AF1407" s="162">
        <f t="shared" si="132"/>
        <v>0</v>
      </c>
      <c r="AG1407" s="145">
        <f t="shared" si="132"/>
        <v>3787415</v>
      </c>
      <c r="AH1407" s="160" t="e">
        <f t="shared" si="131"/>
        <v>#REF!</v>
      </c>
    </row>
    <row r="1408" spans="8:34" hidden="1">
      <c r="H1408" s="2909"/>
      <c r="I1408" s="2909"/>
      <c r="J1408" s="2909"/>
      <c r="K1408" s="2909"/>
      <c r="L1408" s="2910"/>
      <c r="M1408" s="2910"/>
      <c r="N1408" s="2910"/>
      <c r="O1408" s="2910"/>
      <c r="P1408" s="2911"/>
      <c r="Q1408" s="1260"/>
      <c r="R1408" s="2216"/>
      <c r="S1408" s="1260"/>
      <c r="T1408" s="446"/>
      <c r="U1408" s="70"/>
      <c r="V1408" s="70"/>
      <c r="W1408" s="70"/>
      <c r="X1408" s="145" t="e">
        <f t="shared" ref="X1408:AG1408" si="133">SUM(X1409:X1411)</f>
        <v>#REF!</v>
      </c>
      <c r="Y1408" s="446"/>
      <c r="Z1408" s="446"/>
      <c r="AA1408" s="446"/>
      <c r="AB1408" s="446"/>
      <c r="AC1408" s="446"/>
      <c r="AD1408" s="150">
        <f t="shared" si="133"/>
        <v>0</v>
      </c>
      <c r="AE1408" s="147">
        <f t="shared" si="133"/>
        <v>129070</v>
      </c>
      <c r="AF1408" s="162">
        <f t="shared" si="133"/>
        <v>0</v>
      </c>
      <c r="AG1408" s="145">
        <f t="shared" si="133"/>
        <v>129070</v>
      </c>
      <c r="AH1408" s="160" t="e">
        <f t="shared" si="131"/>
        <v>#REF!</v>
      </c>
    </row>
    <row r="1409" spans="8:34" hidden="1">
      <c r="H1409" s="2924"/>
      <c r="I1409" s="2924"/>
      <c r="J1409" s="2924"/>
      <c r="K1409" s="2924"/>
      <c r="L1409" s="2925"/>
      <c r="M1409" s="2925"/>
      <c r="N1409" s="2925"/>
      <c r="O1409" s="2925"/>
      <c r="P1409" s="2926"/>
      <c r="Q1409" s="1748"/>
      <c r="R1409" s="2221"/>
      <c r="S1409" s="1748"/>
      <c r="T1409" s="679"/>
      <c r="U1409" s="53"/>
      <c r="V1409" s="53"/>
      <c r="W1409" s="53"/>
      <c r="X1409" s="153" t="e">
        <f>SUM(#REF!)</f>
        <v>#REF!</v>
      </c>
      <c r="Y1409" s="679"/>
      <c r="Z1409" s="679"/>
      <c r="AA1409" s="679"/>
      <c r="AB1409" s="679"/>
      <c r="AC1409" s="679"/>
      <c r="AD1409" s="181"/>
      <c r="AE1409" s="151">
        <v>129070</v>
      </c>
      <c r="AF1409" s="163"/>
      <c r="AG1409" s="153">
        <f>SUM(AD1409:AF1409)</f>
        <v>129070</v>
      </c>
      <c r="AH1409" s="160" t="e">
        <f t="shared" si="131"/>
        <v>#REF!</v>
      </c>
    </row>
    <row r="1410" spans="8:34" hidden="1">
      <c r="H1410" s="2924"/>
      <c r="I1410" s="2924"/>
      <c r="J1410" s="2924"/>
      <c r="K1410" s="2924"/>
      <c r="L1410" s="2925"/>
      <c r="M1410" s="2925"/>
      <c r="N1410" s="2925"/>
      <c r="O1410" s="2925"/>
      <c r="P1410" s="2926"/>
      <c r="Q1410" s="1748"/>
      <c r="R1410" s="2221"/>
      <c r="S1410" s="1748"/>
      <c r="T1410" s="679"/>
      <c r="U1410" s="53"/>
      <c r="V1410" s="53"/>
      <c r="W1410" s="53"/>
      <c r="X1410" s="153" t="e">
        <f>SUM(#REF!)</f>
        <v>#REF!</v>
      </c>
      <c r="Y1410" s="679"/>
      <c r="Z1410" s="679"/>
      <c r="AA1410" s="679"/>
      <c r="AB1410" s="679"/>
      <c r="AC1410" s="679"/>
      <c r="AD1410" s="181"/>
      <c r="AE1410" s="151"/>
      <c r="AF1410" s="163"/>
      <c r="AG1410" s="153">
        <f>SUM(AD1410:AF1410)</f>
        <v>0</v>
      </c>
      <c r="AH1410" s="160" t="e">
        <f t="shared" si="131"/>
        <v>#REF!</v>
      </c>
    </row>
    <row r="1411" spans="8:34" hidden="1">
      <c r="H1411" s="2924"/>
      <c r="I1411" s="2924"/>
      <c r="J1411" s="2924"/>
      <c r="K1411" s="2924"/>
      <c r="L1411" s="2925"/>
      <c r="M1411" s="2925"/>
      <c r="N1411" s="2925"/>
      <c r="O1411" s="2925"/>
      <c r="P1411" s="2926"/>
      <c r="Q1411" s="1748"/>
      <c r="R1411" s="2221"/>
      <c r="S1411" s="1748"/>
      <c r="T1411" s="679"/>
      <c r="U1411" s="53"/>
      <c r="V1411" s="53"/>
      <c r="W1411" s="53"/>
      <c r="X1411" s="153" t="e">
        <f>SUM(#REF!)</f>
        <v>#REF!</v>
      </c>
      <c r="Y1411" s="679"/>
      <c r="Z1411" s="679"/>
      <c r="AA1411" s="679"/>
      <c r="AB1411" s="679"/>
      <c r="AC1411" s="679"/>
      <c r="AD1411" s="181"/>
      <c r="AE1411" s="151"/>
      <c r="AF1411" s="163"/>
      <c r="AG1411" s="153">
        <f>SUM(AD1411:AF1411)</f>
        <v>0</v>
      </c>
      <c r="AH1411" s="160" t="e">
        <f t="shared" si="131"/>
        <v>#REF!</v>
      </c>
    </row>
    <row r="1412" spans="8:34" hidden="1">
      <c r="H1412" s="2909"/>
      <c r="I1412" s="2909"/>
      <c r="J1412" s="2909"/>
      <c r="K1412" s="2909"/>
      <c r="L1412" s="2910"/>
      <c r="M1412" s="2910"/>
      <c r="N1412" s="2910"/>
      <c r="O1412" s="2910"/>
      <c r="P1412" s="2911"/>
      <c r="Q1412" s="1260"/>
      <c r="R1412" s="2216"/>
      <c r="S1412" s="1260"/>
      <c r="T1412" s="446"/>
      <c r="U1412" s="70"/>
      <c r="V1412" s="70"/>
      <c r="W1412" s="70"/>
      <c r="X1412" s="145" t="e">
        <f t="shared" ref="X1412:AG1412" si="134">SUM(X1413:X1414)</f>
        <v>#REF!</v>
      </c>
      <c r="Y1412" s="446"/>
      <c r="Z1412" s="446"/>
      <c r="AA1412" s="446"/>
      <c r="AB1412" s="446"/>
      <c r="AC1412" s="446"/>
      <c r="AD1412" s="150">
        <f t="shared" si="134"/>
        <v>0</v>
      </c>
      <c r="AE1412" s="147">
        <f t="shared" si="134"/>
        <v>1215065</v>
      </c>
      <c r="AF1412" s="162">
        <f t="shared" si="134"/>
        <v>0</v>
      </c>
      <c r="AG1412" s="145">
        <f t="shared" si="134"/>
        <v>1215065</v>
      </c>
      <c r="AH1412" s="160" t="e">
        <f t="shared" si="131"/>
        <v>#REF!</v>
      </c>
    </row>
    <row r="1413" spans="8:34" hidden="1">
      <c r="H1413" s="2924"/>
      <c r="I1413" s="2924"/>
      <c r="J1413" s="2924"/>
      <c r="K1413" s="2924"/>
      <c r="L1413" s="2925"/>
      <c r="M1413" s="2925"/>
      <c r="N1413" s="2925"/>
      <c r="O1413" s="2925"/>
      <c r="P1413" s="2926"/>
      <c r="Q1413" s="1748"/>
      <c r="R1413" s="2221"/>
      <c r="S1413" s="1748"/>
      <c r="T1413" s="679"/>
      <c r="U1413" s="53"/>
      <c r="V1413" s="53"/>
      <c r="W1413" s="53"/>
      <c r="X1413" s="153" t="e">
        <f>SUM(#REF!)</f>
        <v>#REF!</v>
      </c>
      <c r="Y1413" s="679"/>
      <c r="Z1413" s="679"/>
      <c r="AA1413" s="679"/>
      <c r="AB1413" s="679"/>
      <c r="AC1413" s="679"/>
      <c r="AD1413" s="150"/>
      <c r="AE1413" s="151">
        <v>1215065</v>
      </c>
      <c r="AF1413" s="163"/>
      <c r="AG1413" s="153">
        <f>SUM(AD1413:AF1413)</f>
        <v>1215065</v>
      </c>
      <c r="AH1413" s="160" t="e">
        <f t="shared" si="131"/>
        <v>#REF!</v>
      </c>
    </row>
    <row r="1414" spans="8:34" hidden="1">
      <c r="H1414" s="2924"/>
      <c r="I1414" s="2924"/>
      <c r="J1414" s="2924"/>
      <c r="K1414" s="2924"/>
      <c r="L1414" s="2925"/>
      <c r="M1414" s="2925"/>
      <c r="N1414" s="2925"/>
      <c r="O1414" s="2925"/>
      <c r="P1414" s="2926"/>
      <c r="Q1414" s="1748"/>
      <c r="R1414" s="2221"/>
      <c r="S1414" s="1748"/>
      <c r="T1414" s="679"/>
      <c r="U1414" s="53"/>
      <c r="V1414" s="53"/>
      <c r="W1414" s="53"/>
      <c r="X1414" s="153" t="e">
        <f>SUM(#REF!)</f>
        <v>#REF!</v>
      </c>
      <c r="Y1414" s="679"/>
      <c r="Z1414" s="679"/>
      <c r="AA1414" s="679"/>
      <c r="AB1414" s="679"/>
      <c r="AC1414" s="679"/>
      <c r="AD1414" s="150"/>
      <c r="AE1414" s="151"/>
      <c r="AF1414" s="163"/>
      <c r="AG1414" s="153">
        <f>SUM(AD1414:AF1414)</f>
        <v>0</v>
      </c>
      <c r="AH1414" s="160" t="e">
        <f t="shared" si="131"/>
        <v>#REF!</v>
      </c>
    </row>
    <row r="1415" spans="8:34" hidden="1">
      <c r="H1415" s="2909"/>
      <c r="I1415" s="2909"/>
      <c r="J1415" s="2909"/>
      <c r="K1415" s="2909"/>
      <c r="L1415" s="2910"/>
      <c r="M1415" s="2910"/>
      <c r="N1415" s="2910"/>
      <c r="O1415" s="2910"/>
      <c r="P1415" s="2911"/>
      <c r="Q1415" s="1260"/>
      <c r="R1415" s="2216"/>
      <c r="S1415" s="1260"/>
      <c r="T1415" s="446"/>
      <c r="U1415" s="70"/>
      <c r="V1415" s="70"/>
      <c r="W1415" s="70"/>
      <c r="X1415" s="145" t="e">
        <f t="shared" ref="X1415:AG1415" si="135">SUM(X1416:X1418)</f>
        <v>#REF!</v>
      </c>
      <c r="Y1415" s="446"/>
      <c r="Z1415" s="446"/>
      <c r="AA1415" s="446"/>
      <c r="AB1415" s="446"/>
      <c r="AC1415" s="446"/>
      <c r="AD1415" s="150">
        <f t="shared" si="135"/>
        <v>0</v>
      </c>
      <c r="AE1415" s="147">
        <f t="shared" si="135"/>
        <v>109040</v>
      </c>
      <c r="AF1415" s="162">
        <f t="shared" si="135"/>
        <v>0</v>
      </c>
      <c r="AG1415" s="145">
        <f t="shared" si="135"/>
        <v>109040</v>
      </c>
      <c r="AH1415" s="160" t="e">
        <f t="shared" si="131"/>
        <v>#REF!</v>
      </c>
    </row>
    <row r="1416" spans="8:34" hidden="1">
      <c r="H1416" s="2924"/>
      <c r="I1416" s="2924"/>
      <c r="J1416" s="2924"/>
      <c r="K1416" s="2924"/>
      <c r="L1416" s="2925"/>
      <c r="M1416" s="2925"/>
      <c r="N1416" s="2925"/>
      <c r="O1416" s="2925"/>
      <c r="P1416" s="2926"/>
      <c r="Q1416" s="1748"/>
      <c r="R1416" s="2221"/>
      <c r="S1416" s="1748"/>
      <c r="T1416" s="679"/>
      <c r="U1416" s="53"/>
      <c r="V1416" s="53"/>
      <c r="W1416" s="53"/>
      <c r="X1416" s="153" t="e">
        <f>SUM(#REF!)</f>
        <v>#REF!</v>
      </c>
      <c r="Y1416" s="679"/>
      <c r="Z1416" s="679"/>
      <c r="AA1416" s="679"/>
      <c r="AB1416" s="679"/>
      <c r="AC1416" s="679"/>
      <c r="AD1416" s="150"/>
      <c r="AE1416" s="151">
        <v>109040</v>
      </c>
      <c r="AF1416" s="163"/>
      <c r="AG1416" s="153">
        <f>SUM(AD1416:AF1416)</f>
        <v>109040</v>
      </c>
      <c r="AH1416" s="160" t="e">
        <f t="shared" si="131"/>
        <v>#REF!</v>
      </c>
    </row>
    <row r="1417" spans="8:34" hidden="1">
      <c r="H1417" s="2924"/>
      <c r="I1417" s="2924"/>
      <c r="J1417" s="2924"/>
      <c r="K1417" s="2924"/>
      <c r="L1417" s="2925"/>
      <c r="M1417" s="2925"/>
      <c r="N1417" s="2925"/>
      <c r="O1417" s="2925"/>
      <c r="P1417" s="2926"/>
      <c r="Q1417" s="1748"/>
      <c r="R1417" s="2221"/>
      <c r="S1417" s="1748"/>
      <c r="T1417" s="679"/>
      <c r="U1417" s="53"/>
      <c r="V1417" s="53"/>
      <c r="W1417" s="53"/>
      <c r="X1417" s="153" t="e">
        <f>SUM(#REF!)</f>
        <v>#REF!</v>
      </c>
      <c r="Y1417" s="679"/>
      <c r="Z1417" s="679"/>
      <c r="AA1417" s="679"/>
      <c r="AB1417" s="679"/>
      <c r="AC1417" s="679"/>
      <c r="AD1417" s="150"/>
      <c r="AE1417" s="151"/>
      <c r="AF1417" s="163"/>
      <c r="AG1417" s="153">
        <f>SUM(AD1417:AF1417)</f>
        <v>0</v>
      </c>
      <c r="AH1417" s="160" t="e">
        <f t="shared" si="131"/>
        <v>#REF!</v>
      </c>
    </row>
    <row r="1418" spans="8:34" hidden="1">
      <c r="H1418" s="2924"/>
      <c r="I1418" s="2924"/>
      <c r="J1418" s="2924"/>
      <c r="K1418" s="2924"/>
      <c r="L1418" s="2925"/>
      <c r="M1418" s="2925"/>
      <c r="N1418" s="2925"/>
      <c r="O1418" s="2925"/>
      <c r="P1418" s="2926"/>
      <c r="Q1418" s="1748"/>
      <c r="R1418" s="2221"/>
      <c r="S1418" s="1748"/>
      <c r="T1418" s="679"/>
      <c r="U1418" s="53"/>
      <c r="V1418" s="53"/>
      <c r="W1418" s="53"/>
      <c r="X1418" s="153" t="e">
        <f>SUM(#REF!)</f>
        <v>#REF!</v>
      </c>
      <c r="Y1418" s="679"/>
      <c r="Z1418" s="679"/>
      <c r="AA1418" s="679"/>
      <c r="AB1418" s="679"/>
      <c r="AC1418" s="679"/>
      <c r="AD1418" s="150"/>
      <c r="AE1418" s="151"/>
      <c r="AF1418" s="163"/>
      <c r="AG1418" s="153">
        <f>SUM(AD1418:AF1418)</f>
        <v>0</v>
      </c>
      <c r="AH1418" s="160" t="e">
        <f t="shared" si="131"/>
        <v>#REF!</v>
      </c>
    </row>
    <row r="1419" spans="8:34" hidden="1">
      <c r="H1419" s="2909"/>
      <c r="I1419" s="2909"/>
      <c r="J1419" s="2909"/>
      <c r="K1419" s="2909"/>
      <c r="L1419" s="2910"/>
      <c r="M1419" s="2910"/>
      <c r="N1419" s="2910"/>
      <c r="O1419" s="2910"/>
      <c r="P1419" s="2911"/>
      <c r="Q1419" s="1260"/>
      <c r="R1419" s="2216"/>
      <c r="S1419" s="1260"/>
      <c r="T1419" s="446"/>
      <c r="U1419" s="70"/>
      <c r="V1419" s="70"/>
      <c r="W1419" s="70"/>
      <c r="X1419" s="145" t="e">
        <f t="shared" ref="X1419:AG1419" si="136">SUM(X1420:X1422)</f>
        <v>#REF!</v>
      </c>
      <c r="Y1419" s="446"/>
      <c r="Z1419" s="446"/>
      <c r="AA1419" s="446"/>
      <c r="AB1419" s="446"/>
      <c r="AC1419" s="446"/>
      <c r="AD1419" s="150">
        <f t="shared" si="136"/>
        <v>0</v>
      </c>
      <c r="AE1419" s="147">
        <f t="shared" si="136"/>
        <v>63015</v>
      </c>
      <c r="AF1419" s="162">
        <f t="shared" si="136"/>
        <v>0</v>
      </c>
      <c r="AG1419" s="145">
        <f t="shared" si="136"/>
        <v>63015</v>
      </c>
      <c r="AH1419" s="160" t="e">
        <f t="shared" si="131"/>
        <v>#REF!</v>
      </c>
    </row>
    <row r="1420" spans="8:34" hidden="1">
      <c r="H1420" s="2924"/>
      <c r="I1420" s="2924"/>
      <c r="J1420" s="2924"/>
      <c r="K1420" s="2924"/>
      <c r="L1420" s="2925"/>
      <c r="M1420" s="2925"/>
      <c r="N1420" s="2925"/>
      <c r="O1420" s="2925"/>
      <c r="P1420" s="2926"/>
      <c r="Q1420" s="1748"/>
      <c r="R1420" s="2221"/>
      <c r="S1420" s="1748"/>
      <c r="T1420" s="679"/>
      <c r="U1420" s="53"/>
      <c r="V1420" s="53"/>
      <c r="W1420" s="53"/>
      <c r="X1420" s="153" t="e">
        <f>SUM(#REF!)</f>
        <v>#REF!</v>
      </c>
      <c r="Y1420" s="679"/>
      <c r="Z1420" s="679"/>
      <c r="AA1420" s="679"/>
      <c r="AB1420" s="679"/>
      <c r="AC1420" s="679"/>
      <c r="AD1420" s="181"/>
      <c r="AE1420" s="151">
        <v>63015</v>
      </c>
      <c r="AF1420" s="163"/>
      <c r="AG1420" s="153">
        <f>SUM(AD1420:AF1420)</f>
        <v>63015</v>
      </c>
      <c r="AH1420" s="160" t="e">
        <f t="shared" si="131"/>
        <v>#REF!</v>
      </c>
    </row>
    <row r="1421" spans="8:34" hidden="1">
      <c r="H1421" s="2924"/>
      <c r="I1421" s="2924"/>
      <c r="J1421" s="2924"/>
      <c r="K1421" s="2924"/>
      <c r="L1421" s="2925"/>
      <c r="M1421" s="2925"/>
      <c r="N1421" s="2925"/>
      <c r="O1421" s="2925"/>
      <c r="P1421" s="2926"/>
      <c r="Q1421" s="1748"/>
      <c r="R1421" s="2221"/>
      <c r="S1421" s="1748"/>
      <c r="T1421" s="679"/>
      <c r="U1421" s="53"/>
      <c r="V1421" s="53"/>
      <c r="W1421" s="53"/>
      <c r="X1421" s="153" t="e">
        <f>SUM(#REF!)</f>
        <v>#REF!</v>
      </c>
      <c r="Y1421" s="679"/>
      <c r="Z1421" s="679"/>
      <c r="AA1421" s="679"/>
      <c r="AB1421" s="679"/>
      <c r="AC1421" s="679"/>
      <c r="AD1421" s="181"/>
      <c r="AE1421" s="151"/>
      <c r="AF1421" s="163"/>
      <c r="AG1421" s="153">
        <f>SUM(AD1421:AF1421)</f>
        <v>0</v>
      </c>
      <c r="AH1421" s="160" t="e">
        <f t="shared" si="131"/>
        <v>#REF!</v>
      </c>
    </row>
    <row r="1422" spans="8:34" hidden="1">
      <c r="H1422" s="2924"/>
      <c r="I1422" s="2924"/>
      <c r="J1422" s="2924"/>
      <c r="K1422" s="2924"/>
      <c r="L1422" s="2925"/>
      <c r="M1422" s="2925"/>
      <c r="N1422" s="2925"/>
      <c r="O1422" s="2925"/>
      <c r="P1422" s="2926"/>
      <c r="Q1422" s="1748"/>
      <c r="R1422" s="2221"/>
      <c r="S1422" s="1748"/>
      <c r="T1422" s="679"/>
      <c r="U1422" s="53"/>
      <c r="V1422" s="53"/>
      <c r="W1422" s="53"/>
      <c r="X1422" s="153" t="e">
        <f>SUM(#REF!)</f>
        <v>#REF!</v>
      </c>
      <c r="Y1422" s="679"/>
      <c r="Z1422" s="679"/>
      <c r="AA1422" s="679"/>
      <c r="AB1422" s="679"/>
      <c r="AC1422" s="679"/>
      <c r="AD1422" s="181"/>
      <c r="AE1422" s="151"/>
      <c r="AF1422" s="163"/>
      <c r="AG1422" s="153">
        <f>SUM(AD1422:AF1422)</f>
        <v>0</v>
      </c>
      <c r="AH1422" s="160" t="e">
        <f t="shared" si="131"/>
        <v>#REF!</v>
      </c>
    </row>
    <row r="1423" spans="8:34" hidden="1">
      <c r="H1423" s="2909"/>
      <c r="I1423" s="2909"/>
      <c r="J1423" s="2909"/>
      <c r="K1423" s="2909"/>
      <c r="L1423" s="2910"/>
      <c r="M1423" s="2910"/>
      <c r="N1423" s="2910"/>
      <c r="O1423" s="2910"/>
      <c r="P1423" s="2911"/>
      <c r="Q1423" s="1260"/>
      <c r="R1423" s="2216"/>
      <c r="S1423" s="1260"/>
      <c r="T1423" s="446"/>
      <c r="U1423" s="70"/>
      <c r="V1423" s="70"/>
      <c r="W1423" s="70"/>
      <c r="X1423" s="145" t="e">
        <f t="shared" ref="X1423:AG1423" si="137">SUM(X1424:X1426,)</f>
        <v>#REF!</v>
      </c>
      <c r="Y1423" s="446"/>
      <c r="Z1423" s="446"/>
      <c r="AA1423" s="446"/>
      <c r="AB1423" s="446"/>
      <c r="AC1423" s="446"/>
      <c r="AD1423" s="150">
        <f t="shared" si="137"/>
        <v>0</v>
      </c>
      <c r="AE1423" s="147">
        <f t="shared" si="137"/>
        <v>685070</v>
      </c>
      <c r="AF1423" s="162">
        <f t="shared" si="137"/>
        <v>0</v>
      </c>
      <c r="AG1423" s="145">
        <f t="shared" si="137"/>
        <v>685070</v>
      </c>
      <c r="AH1423" s="160" t="e">
        <f t="shared" si="131"/>
        <v>#REF!</v>
      </c>
    </row>
    <row r="1424" spans="8:34" hidden="1">
      <c r="H1424" s="2924"/>
      <c r="I1424" s="2924"/>
      <c r="J1424" s="2924"/>
      <c r="K1424" s="2924"/>
      <c r="L1424" s="2925"/>
      <c r="M1424" s="2925"/>
      <c r="N1424" s="2925"/>
      <c r="O1424" s="2925"/>
      <c r="P1424" s="2926"/>
      <c r="Q1424" s="1748"/>
      <c r="R1424" s="2221"/>
      <c r="S1424" s="1748"/>
      <c r="T1424" s="679"/>
      <c r="U1424" s="53"/>
      <c r="V1424" s="53"/>
      <c r="W1424" s="53"/>
      <c r="X1424" s="153" t="e">
        <f>SUM(#REF!)</f>
        <v>#REF!</v>
      </c>
      <c r="Y1424" s="679"/>
      <c r="Z1424" s="679"/>
      <c r="AA1424" s="679"/>
      <c r="AB1424" s="679"/>
      <c r="AC1424" s="679"/>
      <c r="AD1424" s="181"/>
      <c r="AE1424" s="151">
        <v>685070</v>
      </c>
      <c r="AF1424" s="163"/>
      <c r="AG1424" s="153">
        <f>SUM(AD1424:AF1424)</f>
        <v>685070</v>
      </c>
      <c r="AH1424" s="160" t="e">
        <f t="shared" si="131"/>
        <v>#REF!</v>
      </c>
    </row>
    <row r="1425" spans="8:34" hidden="1">
      <c r="H1425" s="2924"/>
      <c r="I1425" s="2924"/>
      <c r="J1425" s="2924"/>
      <c r="K1425" s="2924"/>
      <c r="L1425" s="2925"/>
      <c r="M1425" s="2925"/>
      <c r="N1425" s="2925"/>
      <c r="O1425" s="2925"/>
      <c r="P1425" s="2926"/>
      <c r="Q1425" s="1748"/>
      <c r="R1425" s="2221"/>
      <c r="S1425" s="1748"/>
      <c r="T1425" s="679"/>
      <c r="U1425" s="53"/>
      <c r="V1425" s="53"/>
      <c r="W1425" s="53"/>
      <c r="X1425" s="153" t="e">
        <f>SUM(#REF!)</f>
        <v>#REF!</v>
      </c>
      <c r="Y1425" s="679"/>
      <c r="Z1425" s="679"/>
      <c r="AA1425" s="679"/>
      <c r="AB1425" s="679"/>
      <c r="AC1425" s="679"/>
      <c r="AD1425" s="181"/>
      <c r="AE1425" s="151"/>
      <c r="AF1425" s="163"/>
      <c r="AG1425" s="153">
        <f>SUM(AD1425:AF1425)</f>
        <v>0</v>
      </c>
      <c r="AH1425" s="160" t="e">
        <f t="shared" si="131"/>
        <v>#REF!</v>
      </c>
    </row>
    <row r="1426" spans="8:34" hidden="1">
      <c r="H1426" s="2924"/>
      <c r="I1426" s="2924"/>
      <c r="J1426" s="2924"/>
      <c r="K1426" s="2924"/>
      <c r="L1426" s="2925"/>
      <c r="M1426" s="2925"/>
      <c r="N1426" s="2925"/>
      <c r="O1426" s="2925"/>
      <c r="P1426" s="2926"/>
      <c r="Q1426" s="1748"/>
      <c r="R1426" s="2221"/>
      <c r="S1426" s="1748"/>
      <c r="T1426" s="679"/>
      <c r="U1426" s="53"/>
      <c r="V1426" s="53"/>
      <c r="W1426" s="53"/>
      <c r="X1426" s="153" t="e">
        <f>SUM(#REF!)</f>
        <v>#REF!</v>
      </c>
      <c r="Y1426" s="679"/>
      <c r="Z1426" s="679"/>
      <c r="AA1426" s="679"/>
      <c r="AB1426" s="679"/>
      <c r="AC1426" s="679"/>
      <c r="AD1426" s="181"/>
      <c r="AE1426" s="151"/>
      <c r="AF1426" s="163"/>
      <c r="AG1426" s="153">
        <f>SUM(AD1426:AF1426)</f>
        <v>0</v>
      </c>
      <c r="AH1426" s="160" t="e">
        <f t="shared" si="131"/>
        <v>#REF!</v>
      </c>
    </row>
    <row r="1427" spans="8:34" hidden="1">
      <c r="H1427" s="2909"/>
      <c r="I1427" s="2909"/>
      <c r="J1427" s="2909"/>
      <c r="K1427" s="2909"/>
      <c r="L1427" s="2910"/>
      <c r="M1427" s="2910"/>
      <c r="N1427" s="2910"/>
      <c r="O1427" s="2910"/>
      <c r="P1427" s="2911"/>
      <c r="Q1427" s="1260"/>
      <c r="R1427" s="2216"/>
      <c r="S1427" s="1260"/>
      <c r="T1427" s="446"/>
      <c r="U1427" s="70"/>
      <c r="V1427" s="70"/>
      <c r="W1427" s="70"/>
      <c r="X1427" s="145" t="e">
        <f t="shared" ref="X1427:AG1427" si="138">SUM(X1428:X1430)</f>
        <v>#REF!</v>
      </c>
      <c r="Y1427" s="446"/>
      <c r="Z1427" s="446"/>
      <c r="AA1427" s="446"/>
      <c r="AB1427" s="446"/>
      <c r="AC1427" s="446"/>
      <c r="AD1427" s="150">
        <f t="shared" si="138"/>
        <v>0</v>
      </c>
      <c r="AE1427" s="147">
        <f t="shared" si="138"/>
        <v>657700</v>
      </c>
      <c r="AF1427" s="162">
        <f t="shared" si="138"/>
        <v>0</v>
      </c>
      <c r="AG1427" s="145">
        <f t="shared" si="138"/>
        <v>657700</v>
      </c>
      <c r="AH1427" s="160" t="e">
        <f t="shared" si="131"/>
        <v>#REF!</v>
      </c>
    </row>
    <row r="1428" spans="8:34" hidden="1">
      <c r="H1428" s="2924"/>
      <c r="I1428" s="2924"/>
      <c r="J1428" s="2924"/>
      <c r="K1428" s="2924"/>
      <c r="L1428" s="2925"/>
      <c r="M1428" s="2925"/>
      <c r="N1428" s="2925"/>
      <c r="O1428" s="2925"/>
      <c r="P1428" s="2926"/>
      <c r="Q1428" s="1748"/>
      <c r="R1428" s="2221"/>
      <c r="S1428" s="1748"/>
      <c r="T1428" s="679"/>
      <c r="U1428" s="53"/>
      <c r="V1428" s="53"/>
      <c r="W1428" s="53"/>
      <c r="X1428" s="153" t="e">
        <f>SUM(#REF!)</f>
        <v>#REF!</v>
      </c>
      <c r="Y1428" s="679"/>
      <c r="Z1428" s="679"/>
      <c r="AA1428" s="679"/>
      <c r="AB1428" s="679"/>
      <c r="AC1428" s="679"/>
      <c r="AD1428" s="181"/>
      <c r="AE1428" s="151">
        <v>657700</v>
      </c>
      <c r="AF1428" s="163"/>
      <c r="AG1428" s="153">
        <f>SUM(AD1428:AF1428)</f>
        <v>657700</v>
      </c>
      <c r="AH1428" s="160" t="e">
        <f t="shared" si="131"/>
        <v>#REF!</v>
      </c>
    </row>
    <row r="1429" spans="8:34" hidden="1">
      <c r="H1429" s="2924"/>
      <c r="I1429" s="2924"/>
      <c r="J1429" s="2924"/>
      <c r="K1429" s="2924"/>
      <c r="L1429" s="2925"/>
      <c r="M1429" s="2925"/>
      <c r="N1429" s="2925"/>
      <c r="O1429" s="2925"/>
      <c r="P1429" s="2926"/>
      <c r="Q1429" s="1748"/>
      <c r="R1429" s="2221"/>
      <c r="S1429" s="1748"/>
      <c r="T1429" s="679"/>
      <c r="U1429" s="53"/>
      <c r="V1429" s="53"/>
      <c r="W1429" s="53"/>
      <c r="X1429" s="153" t="e">
        <f>SUM(#REF!)</f>
        <v>#REF!</v>
      </c>
      <c r="Y1429" s="679"/>
      <c r="Z1429" s="679"/>
      <c r="AA1429" s="679"/>
      <c r="AB1429" s="679"/>
      <c r="AC1429" s="679"/>
      <c r="AD1429" s="181"/>
      <c r="AE1429" s="151"/>
      <c r="AF1429" s="163"/>
      <c r="AG1429" s="153">
        <f>SUM(AD1429:AF1429)</f>
        <v>0</v>
      </c>
      <c r="AH1429" s="160" t="e">
        <f t="shared" ref="AH1429:AH1460" si="139">AG1429/X1429*100</f>
        <v>#REF!</v>
      </c>
    </row>
    <row r="1430" spans="8:34" hidden="1">
      <c r="H1430" s="2924"/>
      <c r="I1430" s="2924"/>
      <c r="J1430" s="2924"/>
      <c r="K1430" s="2924"/>
      <c r="L1430" s="2925"/>
      <c r="M1430" s="2925"/>
      <c r="N1430" s="2925"/>
      <c r="O1430" s="2925"/>
      <c r="P1430" s="2926"/>
      <c r="Q1430" s="1748"/>
      <c r="R1430" s="2221"/>
      <c r="S1430" s="1748"/>
      <c r="T1430" s="679"/>
      <c r="U1430" s="53"/>
      <c r="V1430" s="53"/>
      <c r="W1430" s="53"/>
      <c r="X1430" s="153" t="e">
        <f>SUM(#REF!)</f>
        <v>#REF!</v>
      </c>
      <c r="Y1430" s="679"/>
      <c r="Z1430" s="679"/>
      <c r="AA1430" s="679"/>
      <c r="AB1430" s="679"/>
      <c r="AC1430" s="679"/>
      <c r="AD1430" s="181"/>
      <c r="AE1430" s="151"/>
      <c r="AF1430" s="163"/>
      <c r="AG1430" s="153">
        <f>SUM(AD1430:AF1430)</f>
        <v>0</v>
      </c>
      <c r="AH1430" s="160" t="e">
        <f t="shared" si="139"/>
        <v>#REF!</v>
      </c>
    </row>
    <row r="1431" spans="8:34" hidden="1">
      <c r="H1431" s="2909"/>
      <c r="I1431" s="2909"/>
      <c r="J1431" s="2909"/>
      <c r="K1431" s="2909"/>
      <c r="L1431" s="2910"/>
      <c r="M1431" s="2910"/>
      <c r="N1431" s="2910"/>
      <c r="O1431" s="2910"/>
      <c r="P1431" s="2911"/>
      <c r="Q1431" s="1260"/>
      <c r="R1431" s="2216"/>
      <c r="S1431" s="1260"/>
      <c r="T1431" s="446"/>
      <c r="U1431" s="70"/>
      <c r="V1431" s="70"/>
      <c r="W1431" s="70"/>
      <c r="X1431" s="145" t="e">
        <f t="shared" ref="X1431:AG1431" si="140">SUM(X1432:X1434)</f>
        <v>#REF!</v>
      </c>
      <c r="Y1431" s="446"/>
      <c r="Z1431" s="446"/>
      <c r="AA1431" s="446"/>
      <c r="AB1431" s="446"/>
      <c r="AC1431" s="446"/>
      <c r="AD1431" s="150">
        <f t="shared" si="140"/>
        <v>0</v>
      </c>
      <c r="AE1431" s="147">
        <f t="shared" si="140"/>
        <v>171070</v>
      </c>
      <c r="AF1431" s="162">
        <f t="shared" si="140"/>
        <v>0</v>
      </c>
      <c r="AG1431" s="145">
        <f t="shared" si="140"/>
        <v>171070</v>
      </c>
      <c r="AH1431" s="160" t="e">
        <f t="shared" si="139"/>
        <v>#REF!</v>
      </c>
    </row>
    <row r="1432" spans="8:34" hidden="1">
      <c r="H1432" s="2924"/>
      <c r="I1432" s="2924"/>
      <c r="J1432" s="2924"/>
      <c r="K1432" s="2924"/>
      <c r="L1432" s="2925"/>
      <c r="M1432" s="2925"/>
      <c r="N1432" s="2925"/>
      <c r="O1432" s="2925"/>
      <c r="P1432" s="2926"/>
      <c r="Q1432" s="1748"/>
      <c r="R1432" s="2221"/>
      <c r="S1432" s="1748"/>
      <c r="T1432" s="679"/>
      <c r="U1432" s="53"/>
      <c r="V1432" s="53"/>
      <c r="W1432" s="53"/>
      <c r="X1432" s="153" t="e">
        <f>SUM(#REF!)</f>
        <v>#REF!</v>
      </c>
      <c r="Y1432" s="679"/>
      <c r="Z1432" s="679"/>
      <c r="AA1432" s="679"/>
      <c r="AB1432" s="679"/>
      <c r="AC1432" s="679"/>
      <c r="AD1432" s="181"/>
      <c r="AE1432" s="185">
        <v>171070</v>
      </c>
      <c r="AF1432" s="163"/>
      <c r="AG1432" s="153">
        <f>SUM(AD1432:AF1432)</f>
        <v>171070</v>
      </c>
      <c r="AH1432" s="160" t="e">
        <f t="shared" si="139"/>
        <v>#REF!</v>
      </c>
    </row>
    <row r="1433" spans="8:34" hidden="1">
      <c r="H1433" s="2924"/>
      <c r="I1433" s="2924"/>
      <c r="J1433" s="2924"/>
      <c r="K1433" s="2924"/>
      <c r="L1433" s="2925"/>
      <c r="M1433" s="2925"/>
      <c r="N1433" s="2925"/>
      <c r="O1433" s="2925"/>
      <c r="P1433" s="2926"/>
      <c r="Q1433" s="1748"/>
      <c r="R1433" s="2221"/>
      <c r="S1433" s="1748"/>
      <c r="T1433" s="679"/>
      <c r="U1433" s="53"/>
      <c r="V1433" s="53"/>
      <c r="W1433" s="53"/>
      <c r="X1433" s="153" t="e">
        <f>SUM(#REF!)</f>
        <v>#REF!</v>
      </c>
      <c r="Y1433" s="679"/>
      <c r="Z1433" s="679"/>
      <c r="AA1433" s="679"/>
      <c r="AB1433" s="679"/>
      <c r="AC1433" s="679"/>
      <c r="AD1433" s="181"/>
      <c r="AE1433" s="185"/>
      <c r="AF1433" s="163"/>
      <c r="AG1433" s="153">
        <f>SUM(AD1433:AF1433)</f>
        <v>0</v>
      </c>
      <c r="AH1433" s="160" t="e">
        <f t="shared" si="139"/>
        <v>#REF!</v>
      </c>
    </row>
    <row r="1434" spans="8:34" hidden="1">
      <c r="H1434" s="2924"/>
      <c r="I1434" s="2924"/>
      <c r="J1434" s="2924"/>
      <c r="K1434" s="2924"/>
      <c r="L1434" s="2925"/>
      <c r="M1434" s="2925"/>
      <c r="N1434" s="2925"/>
      <c r="O1434" s="2925"/>
      <c r="P1434" s="2926"/>
      <c r="Q1434" s="1748"/>
      <c r="R1434" s="2221"/>
      <c r="S1434" s="1748"/>
      <c r="T1434" s="679"/>
      <c r="U1434" s="53"/>
      <c r="V1434" s="53"/>
      <c r="W1434" s="53"/>
      <c r="X1434" s="153" t="e">
        <f>SUM(#REF!)</f>
        <v>#REF!</v>
      </c>
      <c r="Y1434" s="679"/>
      <c r="Z1434" s="679"/>
      <c r="AA1434" s="679"/>
      <c r="AB1434" s="679"/>
      <c r="AC1434" s="679"/>
      <c r="AD1434" s="181"/>
      <c r="AE1434" s="185"/>
      <c r="AF1434" s="163"/>
      <c r="AG1434" s="153">
        <f>SUM(AD1434:AF1434)</f>
        <v>0</v>
      </c>
      <c r="AH1434" s="160" t="e">
        <f t="shared" si="139"/>
        <v>#REF!</v>
      </c>
    </row>
    <row r="1435" spans="8:34" hidden="1">
      <c r="H1435" s="2909"/>
      <c r="I1435" s="2909"/>
      <c r="J1435" s="2909"/>
      <c r="K1435" s="2909"/>
      <c r="L1435" s="2910"/>
      <c r="M1435" s="2910"/>
      <c r="N1435" s="2910"/>
      <c r="O1435" s="2910"/>
      <c r="P1435" s="2911"/>
      <c r="Q1435" s="1260"/>
      <c r="R1435" s="2216"/>
      <c r="S1435" s="1260"/>
      <c r="T1435" s="446"/>
      <c r="U1435" s="70"/>
      <c r="V1435" s="70"/>
      <c r="W1435" s="70"/>
      <c r="X1435" s="145" t="e">
        <f t="shared" ref="X1435:AG1435" si="141">SUM(X1436:X1437)</f>
        <v>#REF!</v>
      </c>
      <c r="Y1435" s="446"/>
      <c r="Z1435" s="446"/>
      <c r="AA1435" s="446"/>
      <c r="AB1435" s="446"/>
      <c r="AC1435" s="446"/>
      <c r="AD1435" s="150">
        <f t="shared" si="141"/>
        <v>0</v>
      </c>
      <c r="AE1435" s="147">
        <f t="shared" si="141"/>
        <v>757385</v>
      </c>
      <c r="AF1435" s="162">
        <f t="shared" si="141"/>
        <v>0</v>
      </c>
      <c r="AG1435" s="145">
        <f t="shared" si="141"/>
        <v>757385</v>
      </c>
      <c r="AH1435" s="160" t="e">
        <f t="shared" si="139"/>
        <v>#REF!</v>
      </c>
    </row>
    <row r="1436" spans="8:34" hidden="1">
      <c r="H1436" s="2924"/>
      <c r="I1436" s="2924"/>
      <c r="J1436" s="2924"/>
      <c r="K1436" s="2924"/>
      <c r="L1436" s="2925"/>
      <c r="M1436" s="2925"/>
      <c r="N1436" s="2925"/>
      <c r="O1436" s="2925"/>
      <c r="P1436" s="2926"/>
      <c r="Q1436" s="1748"/>
      <c r="R1436" s="2221"/>
      <c r="S1436" s="1748"/>
      <c r="T1436" s="679"/>
      <c r="U1436" s="53"/>
      <c r="V1436" s="53"/>
      <c r="W1436" s="53"/>
      <c r="X1436" s="153" t="e">
        <f>SUM(#REF!)</f>
        <v>#REF!</v>
      </c>
      <c r="Y1436" s="679"/>
      <c r="Z1436" s="679"/>
      <c r="AA1436" s="679"/>
      <c r="AB1436" s="679"/>
      <c r="AC1436" s="679"/>
      <c r="AD1436" s="181"/>
      <c r="AE1436" s="151">
        <v>757385</v>
      </c>
      <c r="AF1436" s="163"/>
      <c r="AG1436" s="153">
        <f t="shared" ref="AG1436:AG1449" si="142">SUM(AD1436:AF1436)</f>
        <v>757385</v>
      </c>
      <c r="AH1436" s="160" t="e">
        <f t="shared" si="139"/>
        <v>#REF!</v>
      </c>
    </row>
    <row r="1437" spans="8:34" hidden="1">
      <c r="H1437" s="2924"/>
      <c r="I1437" s="2924"/>
      <c r="J1437" s="2924"/>
      <c r="K1437" s="2924"/>
      <c r="L1437" s="2925"/>
      <c r="M1437" s="2925"/>
      <c r="N1437" s="2925"/>
      <c r="O1437" s="2925"/>
      <c r="P1437" s="2926"/>
      <c r="Q1437" s="1748"/>
      <c r="R1437" s="2221"/>
      <c r="S1437" s="1748"/>
      <c r="T1437" s="679"/>
      <c r="U1437" s="53"/>
      <c r="V1437" s="53"/>
      <c r="W1437" s="53"/>
      <c r="X1437" s="153" t="e">
        <f>SUM(#REF!)</f>
        <v>#REF!</v>
      </c>
      <c r="Y1437" s="679"/>
      <c r="Z1437" s="679"/>
      <c r="AA1437" s="679"/>
      <c r="AB1437" s="679"/>
      <c r="AC1437" s="679"/>
      <c r="AD1437" s="181"/>
      <c r="AE1437" s="151"/>
      <c r="AF1437" s="163"/>
      <c r="AG1437" s="153">
        <f t="shared" si="142"/>
        <v>0</v>
      </c>
      <c r="AH1437" s="160" t="e">
        <f t="shared" si="139"/>
        <v>#REF!</v>
      </c>
    </row>
    <row r="1438" spans="8:34" hidden="1">
      <c r="H1438" s="2909"/>
      <c r="I1438" s="2909"/>
      <c r="J1438" s="2909"/>
      <c r="K1438" s="2909"/>
      <c r="L1438" s="2910"/>
      <c r="M1438" s="2910"/>
      <c r="N1438" s="2910"/>
      <c r="O1438" s="2910"/>
      <c r="P1438" s="2911"/>
      <c r="Q1438" s="1260"/>
      <c r="R1438" s="2216"/>
      <c r="S1438" s="1260"/>
      <c r="T1438" s="446"/>
      <c r="U1438" s="70"/>
      <c r="V1438" s="70"/>
      <c r="W1438" s="70"/>
      <c r="X1438" s="145" t="e">
        <f>SUM(#REF!)</f>
        <v>#REF!</v>
      </c>
      <c r="Y1438" s="446"/>
      <c r="Z1438" s="446"/>
      <c r="AA1438" s="446"/>
      <c r="AB1438" s="446"/>
      <c r="AC1438" s="446"/>
      <c r="AD1438" s="150"/>
      <c r="AE1438" s="186">
        <v>1700000</v>
      </c>
      <c r="AF1438" s="162"/>
      <c r="AG1438" s="145">
        <f t="shared" si="142"/>
        <v>1700000</v>
      </c>
      <c r="AH1438" s="160" t="e">
        <f t="shared" si="139"/>
        <v>#REF!</v>
      </c>
    </row>
    <row r="1439" spans="8:34" hidden="1">
      <c r="H1439" s="2909"/>
      <c r="I1439" s="2909"/>
      <c r="J1439" s="2909"/>
      <c r="K1439" s="2909"/>
      <c r="L1439" s="2910"/>
      <c r="M1439" s="2910"/>
      <c r="N1439" s="2910"/>
      <c r="O1439" s="2910"/>
      <c r="P1439" s="2911"/>
      <c r="Q1439" s="1260"/>
      <c r="R1439" s="2216"/>
      <c r="S1439" s="1260"/>
      <c r="T1439" s="446"/>
      <c r="U1439" s="70"/>
      <c r="V1439" s="70"/>
      <c r="W1439" s="70"/>
      <c r="X1439" s="145" t="e">
        <f>SUM(#REF!)</f>
        <v>#REF!</v>
      </c>
      <c r="Y1439" s="446"/>
      <c r="Z1439" s="446"/>
      <c r="AA1439" s="446"/>
      <c r="AB1439" s="446"/>
      <c r="AC1439" s="446"/>
      <c r="AD1439" s="150"/>
      <c r="AE1439" s="147"/>
      <c r="AF1439" s="162"/>
      <c r="AG1439" s="145">
        <f t="shared" si="142"/>
        <v>0</v>
      </c>
      <c r="AH1439" s="160" t="e">
        <f t="shared" si="139"/>
        <v>#REF!</v>
      </c>
    </row>
    <row r="1440" spans="8:34" hidden="1">
      <c r="H1440" s="2909"/>
      <c r="I1440" s="2909"/>
      <c r="J1440" s="2909"/>
      <c r="K1440" s="2909"/>
      <c r="L1440" s="2910"/>
      <c r="M1440" s="2910"/>
      <c r="N1440" s="2910"/>
      <c r="O1440" s="2910"/>
      <c r="P1440" s="2911"/>
      <c r="Q1440" s="1260"/>
      <c r="R1440" s="2216"/>
      <c r="S1440" s="1260"/>
      <c r="T1440" s="446"/>
      <c r="U1440" s="70"/>
      <c r="V1440" s="70"/>
      <c r="W1440" s="70"/>
      <c r="X1440" s="145" t="e">
        <f>SUM(#REF!)</f>
        <v>#REF!</v>
      </c>
      <c r="Y1440" s="446"/>
      <c r="Z1440" s="446"/>
      <c r="AA1440" s="446"/>
      <c r="AB1440" s="446"/>
      <c r="AC1440" s="446"/>
      <c r="AD1440" s="150"/>
      <c r="AE1440" s="147"/>
      <c r="AF1440" s="162"/>
      <c r="AG1440" s="145">
        <f t="shared" si="142"/>
        <v>0</v>
      </c>
      <c r="AH1440" s="160" t="e">
        <f t="shared" si="139"/>
        <v>#REF!</v>
      </c>
    </row>
    <row r="1441" spans="8:34" hidden="1">
      <c r="H1441" s="2909"/>
      <c r="I1441" s="2909"/>
      <c r="J1441" s="2909"/>
      <c r="K1441" s="2909"/>
      <c r="L1441" s="2910"/>
      <c r="M1441" s="2910"/>
      <c r="N1441" s="2910"/>
      <c r="O1441" s="2910"/>
      <c r="P1441" s="2911"/>
      <c r="Q1441" s="1260"/>
      <c r="R1441" s="2216"/>
      <c r="S1441" s="1260"/>
      <c r="T1441" s="446"/>
      <c r="U1441" s="70"/>
      <c r="V1441" s="70"/>
      <c r="W1441" s="70"/>
      <c r="X1441" s="145" t="e">
        <f>SUM(#REF!)</f>
        <v>#REF!</v>
      </c>
      <c r="Y1441" s="446"/>
      <c r="Z1441" s="446"/>
      <c r="AA1441" s="446"/>
      <c r="AB1441" s="446"/>
      <c r="AC1441" s="446"/>
      <c r="AD1441" s="150"/>
      <c r="AE1441" s="147"/>
      <c r="AF1441" s="162"/>
      <c r="AG1441" s="145">
        <f t="shared" si="142"/>
        <v>0</v>
      </c>
      <c r="AH1441" s="160" t="e">
        <f t="shared" si="139"/>
        <v>#REF!</v>
      </c>
    </row>
    <row r="1442" spans="8:34" hidden="1">
      <c r="H1442" s="2909"/>
      <c r="I1442" s="2909"/>
      <c r="J1442" s="2909"/>
      <c r="K1442" s="2909"/>
      <c r="L1442" s="2910"/>
      <c r="M1442" s="2910"/>
      <c r="N1442" s="2910"/>
      <c r="O1442" s="2910"/>
      <c r="P1442" s="2911"/>
      <c r="Q1442" s="1260"/>
      <c r="R1442" s="2216"/>
      <c r="S1442" s="1260"/>
      <c r="T1442" s="446"/>
      <c r="U1442" s="70"/>
      <c r="V1442" s="70"/>
      <c r="W1442" s="70"/>
      <c r="X1442" s="145" t="e">
        <f>SUM(#REF!)</f>
        <v>#REF!</v>
      </c>
      <c r="Y1442" s="446"/>
      <c r="Z1442" s="446"/>
      <c r="AA1442" s="446"/>
      <c r="AB1442" s="446"/>
      <c r="AC1442" s="446"/>
      <c r="AD1442" s="150"/>
      <c r="AE1442" s="147"/>
      <c r="AF1442" s="162"/>
      <c r="AG1442" s="145">
        <f t="shared" si="142"/>
        <v>0</v>
      </c>
      <c r="AH1442" s="160" t="e">
        <f t="shared" si="139"/>
        <v>#REF!</v>
      </c>
    </row>
    <row r="1443" spans="8:34" hidden="1">
      <c r="H1443" s="2909"/>
      <c r="I1443" s="2909"/>
      <c r="J1443" s="2909"/>
      <c r="K1443" s="2909"/>
      <c r="L1443" s="2910"/>
      <c r="M1443" s="2910"/>
      <c r="N1443" s="2910"/>
      <c r="O1443" s="2910"/>
      <c r="P1443" s="2911"/>
      <c r="Q1443" s="1260"/>
      <c r="R1443" s="2216"/>
      <c r="S1443" s="1260"/>
      <c r="T1443" s="446"/>
      <c r="U1443" s="70"/>
      <c r="V1443" s="70"/>
      <c r="W1443" s="70"/>
      <c r="X1443" s="145" t="e">
        <f>SUM(#REF!)</f>
        <v>#REF!</v>
      </c>
      <c r="Y1443" s="446"/>
      <c r="Z1443" s="446"/>
      <c r="AA1443" s="446"/>
      <c r="AB1443" s="446"/>
      <c r="AC1443" s="446"/>
      <c r="AD1443" s="150"/>
      <c r="AE1443" s="147"/>
      <c r="AF1443" s="162"/>
      <c r="AG1443" s="145">
        <f t="shared" si="142"/>
        <v>0</v>
      </c>
      <c r="AH1443" s="160" t="e">
        <f t="shared" si="139"/>
        <v>#REF!</v>
      </c>
    </row>
    <row r="1444" spans="8:34" hidden="1">
      <c r="H1444" s="2909"/>
      <c r="I1444" s="2909"/>
      <c r="J1444" s="2909"/>
      <c r="K1444" s="2909"/>
      <c r="L1444" s="2910"/>
      <c r="M1444" s="2910"/>
      <c r="N1444" s="2910"/>
      <c r="O1444" s="2910"/>
      <c r="P1444" s="2911"/>
      <c r="Q1444" s="1260"/>
      <c r="R1444" s="2216"/>
      <c r="S1444" s="1260"/>
      <c r="T1444" s="446"/>
      <c r="U1444" s="70"/>
      <c r="V1444" s="70"/>
      <c r="W1444" s="70"/>
      <c r="X1444" s="145" t="e">
        <f>SUM(#REF!)</f>
        <v>#REF!</v>
      </c>
      <c r="Y1444" s="446"/>
      <c r="Z1444" s="446"/>
      <c r="AA1444" s="446"/>
      <c r="AB1444" s="446"/>
      <c r="AC1444" s="446"/>
      <c r="AD1444" s="150"/>
      <c r="AE1444" s="147"/>
      <c r="AF1444" s="162">
        <v>5470136</v>
      </c>
      <c r="AG1444" s="145">
        <f t="shared" si="142"/>
        <v>5470136</v>
      </c>
      <c r="AH1444" s="160" t="e">
        <f t="shared" si="139"/>
        <v>#REF!</v>
      </c>
    </row>
    <row r="1445" spans="8:34" hidden="1">
      <c r="H1445" s="2909"/>
      <c r="I1445" s="2909"/>
      <c r="J1445" s="2909"/>
      <c r="K1445" s="2909"/>
      <c r="L1445" s="2910"/>
      <c r="M1445" s="2910"/>
      <c r="N1445" s="2910"/>
      <c r="O1445" s="2910"/>
      <c r="P1445" s="2911"/>
      <c r="Q1445" s="1260"/>
      <c r="R1445" s="2216"/>
      <c r="S1445" s="1260"/>
      <c r="T1445" s="446"/>
      <c r="U1445" s="70"/>
      <c r="V1445" s="70"/>
      <c r="W1445" s="70"/>
      <c r="X1445" s="145" t="e">
        <f>SUM(#REF!)</f>
        <v>#REF!</v>
      </c>
      <c r="Y1445" s="446"/>
      <c r="Z1445" s="446"/>
      <c r="AA1445" s="446"/>
      <c r="AB1445" s="446"/>
      <c r="AC1445" s="446"/>
      <c r="AD1445" s="150"/>
      <c r="AE1445" s="147"/>
      <c r="AF1445" s="162"/>
      <c r="AG1445" s="145">
        <f t="shared" si="142"/>
        <v>0</v>
      </c>
      <c r="AH1445" s="160" t="e">
        <f t="shared" si="139"/>
        <v>#REF!</v>
      </c>
    </row>
    <row r="1446" spans="8:34" hidden="1">
      <c r="H1446" s="2909"/>
      <c r="I1446" s="2909"/>
      <c r="J1446" s="2909"/>
      <c r="K1446" s="2909"/>
      <c r="L1446" s="2910"/>
      <c r="M1446" s="2910"/>
      <c r="N1446" s="2910"/>
      <c r="O1446" s="2910"/>
      <c r="P1446" s="2911"/>
      <c r="Q1446" s="1260"/>
      <c r="R1446" s="2216"/>
      <c r="S1446" s="1260"/>
      <c r="T1446" s="446"/>
      <c r="U1446" s="70"/>
      <c r="V1446" s="70"/>
      <c r="W1446" s="70"/>
      <c r="X1446" s="145" t="e">
        <f>SUM(#REF!)</f>
        <v>#REF!</v>
      </c>
      <c r="Y1446" s="446"/>
      <c r="Z1446" s="446"/>
      <c r="AA1446" s="446"/>
      <c r="AB1446" s="446"/>
      <c r="AC1446" s="446"/>
      <c r="AD1446" s="150"/>
      <c r="AE1446" s="147"/>
      <c r="AF1446" s="162"/>
      <c r="AG1446" s="145">
        <f t="shared" si="142"/>
        <v>0</v>
      </c>
      <c r="AH1446" s="160" t="e">
        <f t="shared" si="139"/>
        <v>#REF!</v>
      </c>
    </row>
    <row r="1447" spans="8:34" hidden="1">
      <c r="H1447" s="2909"/>
      <c r="I1447" s="2909"/>
      <c r="J1447" s="2909"/>
      <c r="K1447" s="2909"/>
      <c r="L1447" s="2910"/>
      <c r="M1447" s="2910"/>
      <c r="N1447" s="2910"/>
      <c r="O1447" s="2910"/>
      <c r="P1447" s="2911"/>
      <c r="Q1447" s="1260"/>
      <c r="R1447" s="2216"/>
      <c r="S1447" s="1260"/>
      <c r="T1447" s="446"/>
      <c r="U1447" s="70"/>
      <c r="V1447" s="70"/>
      <c r="W1447" s="70"/>
      <c r="X1447" s="145" t="e">
        <f>SUM(#REF!)</f>
        <v>#REF!</v>
      </c>
      <c r="Y1447" s="446"/>
      <c r="Z1447" s="446"/>
      <c r="AA1447" s="446"/>
      <c r="AB1447" s="446"/>
      <c r="AC1447" s="446"/>
      <c r="AD1447" s="150"/>
      <c r="AE1447" s="147"/>
      <c r="AF1447" s="162"/>
      <c r="AG1447" s="145">
        <f t="shared" si="142"/>
        <v>0</v>
      </c>
      <c r="AH1447" s="160" t="e">
        <f t="shared" si="139"/>
        <v>#REF!</v>
      </c>
    </row>
    <row r="1448" spans="8:34" hidden="1">
      <c r="H1448" s="2909"/>
      <c r="I1448" s="2909"/>
      <c r="J1448" s="2909"/>
      <c r="K1448" s="2909"/>
      <c r="L1448" s="2910"/>
      <c r="M1448" s="2910"/>
      <c r="N1448" s="2910"/>
      <c r="O1448" s="2910"/>
      <c r="P1448" s="2911"/>
      <c r="Q1448" s="1260"/>
      <c r="R1448" s="2216"/>
      <c r="S1448" s="1260"/>
      <c r="T1448" s="446"/>
      <c r="U1448" s="70"/>
      <c r="V1448" s="70"/>
      <c r="W1448" s="70"/>
      <c r="X1448" s="145" t="e">
        <f>SUM(#REF!)</f>
        <v>#REF!</v>
      </c>
      <c r="Y1448" s="446"/>
      <c r="Z1448" s="446"/>
      <c r="AA1448" s="446"/>
      <c r="AB1448" s="446"/>
      <c r="AC1448" s="446"/>
      <c r="AD1448" s="150"/>
      <c r="AE1448" s="147"/>
      <c r="AF1448" s="162"/>
      <c r="AG1448" s="145">
        <f t="shared" si="142"/>
        <v>0</v>
      </c>
      <c r="AH1448" s="160" t="e">
        <f t="shared" si="139"/>
        <v>#REF!</v>
      </c>
    </row>
    <row r="1449" spans="8:34" hidden="1">
      <c r="H1449" s="2909"/>
      <c r="I1449" s="2909"/>
      <c r="J1449" s="2909"/>
      <c r="K1449" s="2909"/>
      <c r="L1449" s="2910"/>
      <c r="M1449" s="2910"/>
      <c r="N1449" s="2910"/>
      <c r="O1449" s="2910"/>
      <c r="P1449" s="2911"/>
      <c r="Q1449" s="1260"/>
      <c r="R1449" s="2216"/>
      <c r="S1449" s="1260"/>
      <c r="T1449" s="446"/>
      <c r="U1449" s="70"/>
      <c r="V1449" s="70"/>
      <c r="W1449" s="70"/>
      <c r="X1449" s="145" t="e">
        <f>SUM(#REF!)</f>
        <v>#REF!</v>
      </c>
      <c r="Y1449" s="446"/>
      <c r="Z1449" s="446"/>
      <c r="AA1449" s="446"/>
      <c r="AB1449" s="446"/>
      <c r="AC1449" s="446"/>
      <c r="AD1449" s="181"/>
      <c r="AE1449" s="147"/>
      <c r="AF1449" s="162"/>
      <c r="AG1449" s="145">
        <f t="shared" si="142"/>
        <v>0</v>
      </c>
      <c r="AH1449" s="160" t="e">
        <f t="shared" si="139"/>
        <v>#REF!</v>
      </c>
    </row>
    <row r="1450" spans="8:34" hidden="1">
      <c r="H1450" s="2909"/>
      <c r="I1450" s="2909"/>
      <c r="J1450" s="2909"/>
      <c r="K1450" s="2909"/>
      <c r="L1450" s="2910"/>
      <c r="M1450" s="2910"/>
      <c r="N1450" s="2910"/>
      <c r="O1450" s="2910"/>
      <c r="P1450" s="2911"/>
      <c r="Q1450" s="1260"/>
      <c r="R1450" s="2216"/>
      <c r="S1450" s="1260"/>
      <c r="T1450" s="446"/>
      <c r="U1450" s="70"/>
      <c r="V1450" s="70"/>
      <c r="W1450" s="70"/>
      <c r="X1450" s="145"/>
      <c r="Y1450" s="446"/>
      <c r="Z1450" s="446"/>
      <c r="AA1450" s="446"/>
      <c r="AB1450" s="446"/>
      <c r="AC1450" s="446"/>
      <c r="AD1450" s="181"/>
      <c r="AE1450" s="147"/>
      <c r="AF1450" s="162"/>
      <c r="AG1450" s="145"/>
      <c r="AH1450" s="160" t="e">
        <f t="shared" si="139"/>
        <v>#DIV/0!</v>
      </c>
    </row>
    <row r="1451" spans="8:34" hidden="1">
      <c r="H1451" s="2909"/>
      <c r="I1451" s="2909"/>
      <c r="J1451" s="2909"/>
      <c r="K1451" s="2909"/>
      <c r="L1451" s="2910"/>
      <c r="M1451" s="2910"/>
      <c r="N1451" s="2910"/>
      <c r="O1451" s="2910"/>
      <c r="P1451" s="2911"/>
      <c r="Q1451" s="1260"/>
      <c r="R1451" s="2216"/>
      <c r="S1451" s="1260"/>
      <c r="T1451" s="446"/>
      <c r="U1451" s="70"/>
      <c r="V1451" s="70"/>
      <c r="W1451" s="70"/>
      <c r="X1451" s="145" t="e">
        <f>SUM(#REF!)</f>
        <v>#REF!</v>
      </c>
      <c r="Y1451" s="446"/>
      <c r="Z1451" s="446"/>
      <c r="AA1451" s="446"/>
      <c r="AB1451" s="446"/>
      <c r="AC1451" s="446"/>
      <c r="AD1451" s="181"/>
      <c r="AE1451" s="147"/>
      <c r="AF1451" s="162"/>
      <c r="AG1451" s="145">
        <f t="shared" ref="AG1451:AG1457" si="143">SUM(AD1451:AF1451)</f>
        <v>0</v>
      </c>
      <c r="AH1451" s="160" t="e">
        <f t="shared" si="139"/>
        <v>#REF!</v>
      </c>
    </row>
    <row r="1452" spans="8:34" hidden="1">
      <c r="H1452" s="2909"/>
      <c r="I1452" s="2909"/>
      <c r="J1452" s="2909"/>
      <c r="K1452" s="2909"/>
      <c r="L1452" s="2910"/>
      <c r="M1452" s="2910"/>
      <c r="N1452" s="2910"/>
      <c r="O1452" s="2910"/>
      <c r="P1452" s="2911"/>
      <c r="Q1452" s="1260"/>
      <c r="R1452" s="2216"/>
      <c r="S1452" s="1260"/>
      <c r="T1452" s="446"/>
      <c r="U1452" s="70"/>
      <c r="V1452" s="70"/>
      <c r="W1452" s="70"/>
      <c r="X1452" s="145" t="e">
        <f>SUM(#REF!)</f>
        <v>#REF!</v>
      </c>
      <c r="Y1452" s="446"/>
      <c r="Z1452" s="446"/>
      <c r="AA1452" s="446"/>
      <c r="AB1452" s="446"/>
      <c r="AC1452" s="446"/>
      <c r="AD1452" s="150"/>
      <c r="AE1452" s="147">
        <v>170000</v>
      </c>
      <c r="AF1452" s="162"/>
      <c r="AG1452" s="145">
        <f t="shared" si="143"/>
        <v>170000</v>
      </c>
      <c r="AH1452" s="160" t="e">
        <f t="shared" si="139"/>
        <v>#REF!</v>
      </c>
    </row>
    <row r="1453" spans="8:34" hidden="1">
      <c r="H1453" s="2909"/>
      <c r="I1453" s="2909"/>
      <c r="J1453" s="2909"/>
      <c r="K1453" s="2909"/>
      <c r="L1453" s="2910"/>
      <c r="M1453" s="2910"/>
      <c r="N1453" s="2910"/>
      <c r="O1453" s="2910"/>
      <c r="P1453" s="2911"/>
      <c r="Q1453" s="1260"/>
      <c r="R1453" s="2216"/>
      <c r="S1453" s="1260"/>
      <c r="T1453" s="446"/>
      <c r="U1453" s="70"/>
      <c r="V1453" s="70"/>
      <c r="W1453" s="70"/>
      <c r="X1453" s="145" t="e">
        <f>SUM(#REF!)</f>
        <v>#REF!</v>
      </c>
      <c r="Y1453" s="446"/>
      <c r="Z1453" s="446"/>
      <c r="AA1453" s="446"/>
      <c r="AB1453" s="446"/>
      <c r="AC1453" s="446"/>
      <c r="AD1453" s="150"/>
      <c r="AE1453" s="147"/>
      <c r="AF1453" s="162"/>
      <c r="AG1453" s="145">
        <f t="shared" si="143"/>
        <v>0</v>
      </c>
      <c r="AH1453" s="160" t="e">
        <f t="shared" si="139"/>
        <v>#REF!</v>
      </c>
    </row>
    <row r="1454" spans="8:34" hidden="1">
      <c r="H1454" s="2909"/>
      <c r="I1454" s="2909"/>
      <c r="J1454" s="2909"/>
      <c r="K1454" s="2909"/>
      <c r="L1454" s="2910"/>
      <c r="M1454" s="2910"/>
      <c r="N1454" s="2910"/>
      <c r="O1454" s="2910"/>
      <c r="P1454" s="2911"/>
      <c r="Q1454" s="1260"/>
      <c r="R1454" s="2216"/>
      <c r="S1454" s="1260"/>
      <c r="T1454" s="446"/>
      <c r="U1454" s="70"/>
      <c r="V1454" s="70"/>
      <c r="W1454" s="70"/>
      <c r="X1454" s="145" t="e">
        <f>SUM(#REF!)</f>
        <v>#REF!</v>
      </c>
      <c r="Y1454" s="446"/>
      <c r="Z1454" s="446"/>
      <c r="AA1454" s="446"/>
      <c r="AB1454" s="446"/>
      <c r="AC1454" s="446"/>
      <c r="AD1454" s="150"/>
      <c r="AE1454" s="147"/>
      <c r="AF1454" s="162"/>
      <c r="AG1454" s="145">
        <f t="shared" si="143"/>
        <v>0</v>
      </c>
      <c r="AH1454" s="160" t="e">
        <f t="shared" si="139"/>
        <v>#REF!</v>
      </c>
    </row>
    <row r="1455" spans="8:34" hidden="1">
      <c r="H1455" s="2909"/>
      <c r="I1455" s="2909"/>
      <c r="J1455" s="2909"/>
      <c r="K1455" s="2909"/>
      <c r="L1455" s="2910"/>
      <c r="M1455" s="2910"/>
      <c r="N1455" s="2910"/>
      <c r="O1455" s="2910"/>
      <c r="P1455" s="2911"/>
      <c r="Q1455" s="1260"/>
      <c r="R1455" s="2216"/>
      <c r="S1455" s="1260"/>
      <c r="T1455" s="446"/>
      <c r="U1455" s="70"/>
      <c r="V1455" s="70"/>
      <c r="W1455" s="70"/>
      <c r="X1455" s="145" t="e">
        <f>SUM(#REF!)</f>
        <v>#REF!</v>
      </c>
      <c r="Y1455" s="446"/>
      <c r="Z1455" s="446"/>
      <c r="AA1455" s="446"/>
      <c r="AB1455" s="446"/>
      <c r="AC1455" s="446"/>
      <c r="AD1455" s="150"/>
      <c r="AE1455" s="147"/>
      <c r="AF1455" s="162"/>
      <c r="AG1455" s="145">
        <f t="shared" si="143"/>
        <v>0</v>
      </c>
      <c r="AH1455" s="160" t="e">
        <f t="shared" si="139"/>
        <v>#REF!</v>
      </c>
    </row>
    <row r="1456" spans="8:34" hidden="1">
      <c r="H1456" s="2909"/>
      <c r="I1456" s="2909"/>
      <c r="J1456" s="2909"/>
      <c r="K1456" s="2909"/>
      <c r="L1456" s="2910"/>
      <c r="M1456" s="2910"/>
      <c r="N1456" s="2910"/>
      <c r="O1456" s="2910"/>
      <c r="P1456" s="2911"/>
      <c r="Q1456" s="1260"/>
      <c r="R1456" s="2216"/>
      <c r="S1456" s="1260"/>
      <c r="T1456" s="446"/>
      <c r="U1456" s="70"/>
      <c r="V1456" s="70"/>
      <c r="W1456" s="70"/>
      <c r="X1456" s="145" t="e">
        <f>SUM(#REF!)</f>
        <v>#REF!</v>
      </c>
      <c r="Y1456" s="446"/>
      <c r="Z1456" s="446"/>
      <c r="AA1456" s="446"/>
      <c r="AB1456" s="446"/>
      <c r="AC1456" s="446"/>
      <c r="AD1456" s="150"/>
      <c r="AE1456" s="147"/>
      <c r="AF1456" s="162"/>
      <c r="AG1456" s="145">
        <f t="shared" si="143"/>
        <v>0</v>
      </c>
      <c r="AH1456" s="160" t="e">
        <f t="shared" si="139"/>
        <v>#REF!</v>
      </c>
    </row>
    <row r="1457" spans="8:34" hidden="1">
      <c r="H1457" s="2909"/>
      <c r="I1457" s="2909"/>
      <c r="J1457" s="2909"/>
      <c r="K1457" s="2909"/>
      <c r="L1457" s="2910"/>
      <c r="M1457" s="2910"/>
      <c r="N1457" s="2910"/>
      <c r="O1457" s="2910"/>
      <c r="P1457" s="2911"/>
      <c r="Q1457" s="1260"/>
      <c r="R1457" s="2216"/>
      <c r="S1457" s="1260"/>
      <c r="T1457" s="446"/>
      <c r="U1457" s="70"/>
      <c r="V1457" s="70"/>
      <c r="W1457" s="70"/>
      <c r="X1457" s="145" t="e">
        <f>SUM(#REF!)</f>
        <v>#REF!</v>
      </c>
      <c r="Y1457" s="446"/>
      <c r="Z1457" s="446"/>
      <c r="AA1457" s="446"/>
      <c r="AB1457" s="446"/>
      <c r="AC1457" s="446"/>
      <c r="AD1457" s="150"/>
      <c r="AE1457" s="147"/>
      <c r="AF1457" s="162"/>
      <c r="AG1457" s="145">
        <f t="shared" si="143"/>
        <v>0</v>
      </c>
      <c r="AH1457" s="160" t="e">
        <f t="shared" si="139"/>
        <v>#REF!</v>
      </c>
    </row>
    <row r="1458" spans="8:34" hidden="1">
      <c r="H1458" s="2909"/>
      <c r="I1458" s="2909"/>
      <c r="J1458" s="2909"/>
      <c r="K1458" s="2909"/>
      <c r="L1458" s="2910"/>
      <c r="M1458" s="2910"/>
      <c r="N1458" s="2910"/>
      <c r="O1458" s="2910"/>
      <c r="P1458" s="2911"/>
      <c r="Q1458" s="1260"/>
      <c r="R1458" s="2216"/>
      <c r="S1458" s="1260"/>
      <c r="T1458" s="446"/>
      <c r="U1458" s="70"/>
      <c r="V1458" s="70"/>
      <c r="W1458" s="70"/>
      <c r="X1458" s="145" t="e">
        <f>SUM(X1459)</f>
        <v>#REF!</v>
      </c>
      <c r="Y1458" s="446"/>
      <c r="Z1458" s="446"/>
      <c r="AA1458" s="446"/>
      <c r="AB1458" s="446"/>
      <c r="AC1458" s="446"/>
      <c r="AD1458" s="150">
        <f>AD1459</f>
        <v>50000</v>
      </c>
      <c r="AE1458" s="147">
        <f>AE1459</f>
        <v>0</v>
      </c>
      <c r="AF1458" s="162">
        <f>AF1459</f>
        <v>0</v>
      </c>
      <c r="AG1458" s="145">
        <f>SUM(AG1459)</f>
        <v>50000</v>
      </c>
      <c r="AH1458" s="160" t="e">
        <f t="shared" si="139"/>
        <v>#REF!</v>
      </c>
    </row>
    <row r="1459" spans="8:34" hidden="1">
      <c r="H1459" s="2924"/>
      <c r="I1459" s="2924"/>
      <c r="J1459" s="2924"/>
      <c r="K1459" s="2924"/>
      <c r="L1459" s="2925"/>
      <c r="M1459" s="2925"/>
      <c r="N1459" s="2925"/>
      <c r="O1459" s="2925"/>
      <c r="P1459" s="2926"/>
      <c r="Q1459" s="1748"/>
      <c r="R1459" s="2221"/>
      <c r="S1459" s="1748"/>
      <c r="T1459" s="679"/>
      <c r="U1459" s="53"/>
      <c r="V1459" s="53"/>
      <c r="W1459" s="53"/>
      <c r="X1459" s="153" t="e">
        <f>SUM(#REF!)</f>
        <v>#REF!</v>
      </c>
      <c r="Y1459" s="679"/>
      <c r="Z1459" s="679"/>
      <c r="AA1459" s="679"/>
      <c r="AB1459" s="679"/>
      <c r="AC1459" s="679"/>
      <c r="AD1459" s="187">
        <v>50000</v>
      </c>
      <c r="AE1459" s="151"/>
      <c r="AF1459" s="163"/>
      <c r="AG1459" s="153">
        <f>SUM(AD1459:AF1459)</f>
        <v>50000</v>
      </c>
      <c r="AH1459" s="160" t="e">
        <f t="shared" si="139"/>
        <v>#REF!</v>
      </c>
    </row>
    <row r="1460" spans="8:34" hidden="1">
      <c r="H1460" s="2921"/>
      <c r="I1460" s="2921"/>
      <c r="J1460" s="2921"/>
      <c r="K1460" s="2921"/>
      <c r="L1460" s="2922"/>
      <c r="M1460" s="2922"/>
      <c r="N1460" s="2922"/>
      <c r="O1460" s="2922"/>
      <c r="P1460" s="2923"/>
      <c r="Q1460" s="1511"/>
      <c r="R1460" s="2220"/>
      <c r="S1460" s="1511"/>
      <c r="T1460" s="572"/>
      <c r="U1460" s="12"/>
      <c r="V1460" s="12"/>
      <c r="W1460" s="12"/>
      <c r="X1460" s="174" t="e">
        <f>SUM(X1462,X1484,X1514,X1573,X1576)</f>
        <v>#REF!</v>
      </c>
      <c r="Y1460" s="572"/>
      <c r="Z1460" s="572"/>
      <c r="AA1460" s="572"/>
      <c r="AB1460" s="572"/>
      <c r="AC1460" s="572"/>
      <c r="AD1460" s="175">
        <f>SUM(AD1462,AD1484,AD1514,AD1573,AD1576)</f>
        <v>11256000</v>
      </c>
      <c r="AE1460" s="175">
        <f t="shared" ref="AE1460:AF1460" si="144">SUM(AE1462,AE1484,AE1514,AE1573,AE1576)</f>
        <v>2680000</v>
      </c>
      <c r="AF1460" s="175">
        <f t="shared" si="144"/>
        <v>984000</v>
      </c>
      <c r="AG1460" s="174">
        <f>SUM(AG1462,AG1484,AG1514,AG1573,AG1576)</f>
        <v>14920000</v>
      </c>
      <c r="AH1460" s="176" t="e">
        <f t="shared" si="139"/>
        <v>#REF!</v>
      </c>
    </row>
    <row r="1461" spans="8:34" hidden="1">
      <c r="H1461" s="2921"/>
      <c r="I1461" s="2921"/>
      <c r="J1461" s="2921"/>
      <c r="K1461" s="2921"/>
      <c r="L1461" s="2922"/>
      <c r="M1461" s="2922"/>
      <c r="N1461" s="2922"/>
      <c r="O1461" s="2922"/>
      <c r="P1461" s="2923"/>
      <c r="Q1461" s="1511"/>
      <c r="R1461" s="2220"/>
      <c r="S1461" s="1511"/>
      <c r="T1461" s="572"/>
      <c r="U1461" s="12"/>
      <c r="V1461" s="12"/>
      <c r="W1461" s="12"/>
      <c r="X1461" s="174"/>
      <c r="Y1461" s="572"/>
      <c r="Z1461" s="572"/>
      <c r="AA1461" s="572"/>
      <c r="AB1461" s="572"/>
      <c r="AC1461" s="572"/>
      <c r="AD1461" s="175" t="s">
        <v>496</v>
      </c>
      <c r="AE1461" s="172"/>
      <c r="AF1461" s="173"/>
      <c r="AG1461" s="174"/>
      <c r="AH1461" s="176"/>
    </row>
    <row r="1462" spans="8:34" hidden="1">
      <c r="H1462" s="2909"/>
      <c r="I1462" s="2909"/>
      <c r="J1462" s="2909"/>
      <c r="K1462" s="2909"/>
      <c r="L1462" s="2910"/>
      <c r="M1462" s="2910"/>
      <c r="N1462" s="2910"/>
      <c r="O1462" s="2910"/>
      <c r="P1462" s="2911"/>
      <c r="Q1462" s="1260"/>
      <c r="R1462" s="2216"/>
      <c r="S1462" s="1260"/>
      <c r="T1462" s="446"/>
      <c r="U1462" s="70"/>
      <c r="V1462" s="70"/>
      <c r="W1462" s="70"/>
      <c r="X1462" s="145" t="e">
        <f t="shared" ref="X1462:AG1462" si="145">SUM(X1463,X1471,X1473,)</f>
        <v>#REF!</v>
      </c>
      <c r="Y1462" s="446"/>
      <c r="Z1462" s="446"/>
      <c r="AA1462" s="446"/>
      <c r="AB1462" s="446"/>
      <c r="AC1462" s="446"/>
      <c r="AD1462" s="150">
        <f t="shared" si="145"/>
        <v>2604000</v>
      </c>
      <c r="AE1462" s="147">
        <f t="shared" si="145"/>
        <v>0</v>
      </c>
      <c r="AF1462" s="162">
        <f t="shared" si="145"/>
        <v>0</v>
      </c>
      <c r="AG1462" s="145">
        <f t="shared" si="145"/>
        <v>2604000</v>
      </c>
      <c r="AH1462" s="160" t="e">
        <f t="shared" ref="AH1462:AH1480" si="146">AG1462/X1462*100</f>
        <v>#REF!</v>
      </c>
    </row>
    <row r="1463" spans="8:34" hidden="1">
      <c r="H1463" s="2909"/>
      <c r="I1463" s="2909"/>
      <c r="J1463" s="2909"/>
      <c r="K1463" s="2909"/>
      <c r="L1463" s="2910"/>
      <c r="M1463" s="2910"/>
      <c r="N1463" s="2910"/>
      <c r="O1463" s="2910"/>
      <c r="P1463" s="2911"/>
      <c r="Q1463" s="1260"/>
      <c r="R1463" s="2216"/>
      <c r="S1463" s="1260"/>
      <c r="T1463" s="446"/>
      <c r="U1463" s="70"/>
      <c r="V1463" s="70"/>
      <c r="W1463" s="70"/>
      <c r="X1463" s="145" t="e">
        <f>SUM(X1464,X1467)</f>
        <v>#REF!</v>
      </c>
      <c r="Y1463" s="446"/>
      <c r="Z1463" s="446"/>
      <c r="AA1463" s="446"/>
      <c r="AB1463" s="446"/>
      <c r="AC1463" s="446"/>
      <c r="AD1463" s="150">
        <f>SUM(AD1464,AD1467)</f>
        <v>2297000</v>
      </c>
      <c r="AE1463" s="147">
        <f>SUM(AE1464:AE1465)</f>
        <v>0</v>
      </c>
      <c r="AF1463" s="162">
        <f>SUM(AF1464:AF1465)</f>
        <v>0</v>
      </c>
      <c r="AG1463" s="145">
        <f>SUM(AG1464,AG1467)</f>
        <v>2297000</v>
      </c>
      <c r="AH1463" s="160" t="e">
        <f t="shared" si="146"/>
        <v>#REF!</v>
      </c>
    </row>
    <row r="1464" spans="8:34" hidden="1">
      <c r="H1464" s="2927"/>
      <c r="I1464" s="2927"/>
      <c r="J1464" s="2927"/>
      <c r="K1464" s="2927"/>
      <c r="L1464" s="2928"/>
      <c r="M1464" s="2928"/>
      <c r="N1464" s="2928"/>
      <c r="O1464" s="2928"/>
      <c r="P1464" s="2929"/>
      <c r="Q1464" s="1749"/>
      <c r="R1464" s="2222"/>
      <c r="S1464" s="1749"/>
      <c r="T1464" s="575"/>
      <c r="U1464" s="19"/>
      <c r="V1464" s="19"/>
      <c r="W1464" s="19"/>
      <c r="X1464" s="145" t="e">
        <f>SUM(X1465:X1466)</f>
        <v>#REF!</v>
      </c>
      <c r="Y1464" s="446"/>
      <c r="Z1464" s="446"/>
      <c r="AA1464" s="446"/>
      <c r="AB1464" s="446"/>
      <c r="AC1464" s="446"/>
      <c r="AD1464" s="177">
        <f>SUM(AD1465:AD1466)</f>
        <v>2080000</v>
      </c>
      <c r="AE1464" s="188">
        <f>SUM(AE1465:AE1466)</f>
        <v>0</v>
      </c>
      <c r="AF1464" s="189">
        <f>SUM(AF1465:AF1466)</f>
        <v>0</v>
      </c>
      <c r="AG1464" s="145">
        <f>SUM(AG1465:AG1466)</f>
        <v>2080000</v>
      </c>
      <c r="AH1464" s="160" t="e">
        <f t="shared" si="146"/>
        <v>#REF!</v>
      </c>
    </row>
    <row r="1465" spans="8:34" hidden="1">
      <c r="H1465" s="2924"/>
      <c r="I1465" s="2924"/>
      <c r="J1465" s="2924"/>
      <c r="K1465" s="2924"/>
      <c r="L1465" s="2925"/>
      <c r="M1465" s="2925"/>
      <c r="N1465" s="2925"/>
      <c r="O1465" s="2925"/>
      <c r="P1465" s="2926"/>
      <c r="Q1465" s="1748"/>
      <c r="R1465" s="2221"/>
      <c r="S1465" s="1748"/>
      <c r="T1465" s="679"/>
      <c r="U1465" s="53"/>
      <c r="V1465" s="53"/>
      <c r="W1465" s="53"/>
      <c r="X1465" s="153" t="e">
        <f>SUM(#REF!)</f>
        <v>#REF!</v>
      </c>
      <c r="Y1465" s="679"/>
      <c r="Z1465" s="679"/>
      <c r="AA1465" s="679"/>
      <c r="AB1465" s="679"/>
      <c r="AC1465" s="679"/>
      <c r="AD1465" s="181">
        <v>1435000</v>
      </c>
      <c r="AE1465" s="151"/>
      <c r="AF1465" s="163"/>
      <c r="AG1465" s="153">
        <f>SUM(AD1465:AF1465)</f>
        <v>1435000</v>
      </c>
      <c r="AH1465" s="160" t="e">
        <f t="shared" si="146"/>
        <v>#REF!</v>
      </c>
    </row>
    <row r="1466" spans="8:34" hidden="1">
      <c r="H1466" s="2909"/>
      <c r="I1466" s="2909"/>
      <c r="J1466" s="2909"/>
      <c r="K1466" s="2909"/>
      <c r="L1466" s="2910"/>
      <c r="M1466" s="2910"/>
      <c r="N1466" s="2910"/>
      <c r="O1466" s="2910"/>
      <c r="P1466" s="2911"/>
      <c r="Q1466" s="1260"/>
      <c r="R1466" s="2216"/>
      <c r="S1466" s="1260"/>
      <c r="T1466" s="446"/>
      <c r="U1466" s="70"/>
      <c r="V1466" s="70"/>
      <c r="W1466" s="70"/>
      <c r="X1466" s="153" t="e">
        <f>SUM(#REF!)</f>
        <v>#REF!</v>
      </c>
      <c r="Y1466" s="679"/>
      <c r="Z1466" s="679"/>
      <c r="AA1466" s="679"/>
      <c r="AB1466" s="679"/>
      <c r="AC1466" s="679"/>
      <c r="AD1466" s="181">
        <v>645000</v>
      </c>
      <c r="AE1466" s="147"/>
      <c r="AF1466" s="162"/>
      <c r="AG1466" s="153">
        <f>SUM(AD1466:AF1466)</f>
        <v>645000</v>
      </c>
      <c r="AH1466" s="160" t="e">
        <f t="shared" si="146"/>
        <v>#REF!</v>
      </c>
    </row>
    <row r="1467" spans="8:34" hidden="1">
      <c r="H1467" s="2909"/>
      <c r="I1467" s="2909"/>
      <c r="J1467" s="2909"/>
      <c r="K1467" s="2909"/>
      <c r="L1467" s="2910"/>
      <c r="M1467" s="2910"/>
      <c r="N1467" s="2910"/>
      <c r="O1467" s="2910"/>
      <c r="P1467" s="2911"/>
      <c r="Q1467" s="1260"/>
      <c r="R1467" s="2216"/>
      <c r="S1467" s="1260"/>
      <c r="T1467" s="446"/>
      <c r="U1467" s="70"/>
      <c r="V1467" s="70"/>
      <c r="W1467" s="70"/>
      <c r="X1467" s="145" t="e">
        <f t="shared" ref="X1467:AG1467" si="147">SUM(X1468:X1470)</f>
        <v>#REF!</v>
      </c>
      <c r="Y1467" s="446"/>
      <c r="Z1467" s="446"/>
      <c r="AA1467" s="446"/>
      <c r="AB1467" s="446"/>
      <c r="AC1467" s="446"/>
      <c r="AD1467" s="150">
        <f t="shared" si="147"/>
        <v>217000</v>
      </c>
      <c r="AE1467" s="147">
        <f t="shared" si="147"/>
        <v>0</v>
      </c>
      <c r="AF1467" s="162">
        <f t="shared" si="147"/>
        <v>0</v>
      </c>
      <c r="AG1467" s="145">
        <f t="shared" si="147"/>
        <v>217000</v>
      </c>
      <c r="AH1467" s="160" t="e">
        <f t="shared" si="146"/>
        <v>#REF!</v>
      </c>
    </row>
    <row r="1468" spans="8:34" hidden="1">
      <c r="H1468" s="2924"/>
      <c r="I1468" s="2924"/>
      <c r="J1468" s="2924"/>
      <c r="K1468" s="2924"/>
      <c r="L1468" s="2925"/>
      <c r="M1468" s="2925"/>
      <c r="N1468" s="2925"/>
      <c r="O1468" s="2925"/>
      <c r="P1468" s="2926"/>
      <c r="Q1468" s="1748"/>
      <c r="R1468" s="2221"/>
      <c r="S1468" s="1748"/>
      <c r="T1468" s="679"/>
      <c r="U1468" s="53"/>
      <c r="V1468" s="53"/>
      <c r="W1468" s="53"/>
      <c r="X1468" s="153" t="e">
        <f>SUM(#REF!)</f>
        <v>#REF!</v>
      </c>
      <c r="Y1468" s="679"/>
      <c r="Z1468" s="679"/>
      <c r="AA1468" s="679"/>
      <c r="AB1468" s="679"/>
      <c r="AC1468" s="679"/>
      <c r="AD1468" s="179">
        <v>25000</v>
      </c>
      <c r="AE1468" s="151"/>
      <c r="AF1468" s="163"/>
      <c r="AG1468" s="153">
        <f>SUM(AD1468:AF1468)</f>
        <v>25000</v>
      </c>
      <c r="AH1468" s="160" t="e">
        <f t="shared" si="146"/>
        <v>#REF!</v>
      </c>
    </row>
    <row r="1469" spans="8:34" hidden="1">
      <c r="H1469" s="2924"/>
      <c r="I1469" s="2924"/>
      <c r="J1469" s="2924"/>
      <c r="K1469" s="2924"/>
      <c r="L1469" s="2925"/>
      <c r="M1469" s="2925"/>
      <c r="N1469" s="2925"/>
      <c r="O1469" s="2925"/>
      <c r="P1469" s="2926"/>
      <c r="Q1469" s="1748"/>
      <c r="R1469" s="2221"/>
      <c r="S1469" s="1748"/>
      <c r="T1469" s="679"/>
      <c r="U1469" s="53"/>
      <c r="V1469" s="53"/>
      <c r="W1469" s="53"/>
      <c r="X1469" s="153" t="e">
        <f>SUM(#REF!)</f>
        <v>#REF!</v>
      </c>
      <c r="Y1469" s="679"/>
      <c r="Z1469" s="679"/>
      <c r="AA1469" s="679"/>
      <c r="AB1469" s="679"/>
      <c r="AC1469" s="679"/>
      <c r="AD1469" s="179">
        <v>155000</v>
      </c>
      <c r="AE1469" s="151"/>
      <c r="AF1469" s="163"/>
      <c r="AG1469" s="153">
        <f>SUM(AD1469:AF1469)</f>
        <v>155000</v>
      </c>
      <c r="AH1469" s="160" t="e">
        <f t="shared" si="146"/>
        <v>#REF!</v>
      </c>
    </row>
    <row r="1470" spans="8:34" hidden="1">
      <c r="H1470" s="2909"/>
      <c r="I1470" s="2909"/>
      <c r="J1470" s="2909"/>
      <c r="K1470" s="2909"/>
      <c r="L1470" s="2910"/>
      <c r="M1470" s="2910"/>
      <c r="N1470" s="2910"/>
      <c r="O1470" s="2910"/>
      <c r="P1470" s="2911"/>
      <c r="Q1470" s="1260"/>
      <c r="R1470" s="2216"/>
      <c r="S1470" s="1260"/>
      <c r="T1470" s="446"/>
      <c r="U1470" s="70"/>
      <c r="V1470" s="70"/>
      <c r="W1470" s="70"/>
      <c r="X1470" s="153" t="e">
        <f>SUM(#REF!)</f>
        <v>#REF!</v>
      </c>
      <c r="Y1470" s="679"/>
      <c r="Z1470" s="679"/>
      <c r="AA1470" s="679"/>
      <c r="AB1470" s="679"/>
      <c r="AC1470" s="679"/>
      <c r="AD1470" s="181">
        <v>37000</v>
      </c>
      <c r="AE1470" s="147"/>
      <c r="AF1470" s="162"/>
      <c r="AG1470" s="153">
        <f>SUM(AD1470:AF1470)</f>
        <v>37000</v>
      </c>
      <c r="AH1470" s="160" t="e">
        <f t="shared" si="146"/>
        <v>#REF!</v>
      </c>
    </row>
    <row r="1471" spans="8:34" hidden="1">
      <c r="H1471" s="2909"/>
      <c r="I1471" s="2909"/>
      <c r="J1471" s="2909"/>
      <c r="K1471" s="2909"/>
      <c r="L1471" s="2910"/>
      <c r="M1471" s="2910"/>
      <c r="N1471" s="2910"/>
      <c r="O1471" s="2910"/>
      <c r="P1471" s="2911"/>
      <c r="Q1471" s="1260"/>
      <c r="R1471" s="2216"/>
      <c r="S1471" s="1260"/>
      <c r="T1471" s="446"/>
      <c r="U1471" s="70"/>
      <c r="V1471" s="70"/>
      <c r="W1471" s="70"/>
      <c r="X1471" s="145" t="e">
        <f>SUM(X1472)</f>
        <v>#REF!</v>
      </c>
      <c r="Y1471" s="446"/>
      <c r="Z1471" s="446"/>
      <c r="AA1471" s="446"/>
      <c r="AB1471" s="446"/>
      <c r="AC1471" s="446"/>
      <c r="AD1471" s="150">
        <f>AD1472</f>
        <v>218000</v>
      </c>
      <c r="AE1471" s="147">
        <f>SUM(AE1472)</f>
        <v>0</v>
      </c>
      <c r="AF1471" s="162">
        <f>SUM(AF1472)</f>
        <v>0</v>
      </c>
      <c r="AG1471" s="145">
        <f>SUM(AG1472)</f>
        <v>218000</v>
      </c>
      <c r="AH1471" s="160" t="e">
        <f t="shared" si="146"/>
        <v>#REF!</v>
      </c>
    </row>
    <row r="1472" spans="8:34" hidden="1">
      <c r="H1472" s="2909"/>
      <c r="I1472" s="2909"/>
      <c r="J1472" s="2909"/>
      <c r="K1472" s="2909"/>
      <c r="L1472" s="2910"/>
      <c r="M1472" s="2910"/>
      <c r="N1472" s="2910"/>
      <c r="O1472" s="2910"/>
      <c r="P1472" s="2911"/>
      <c r="Q1472" s="1260"/>
      <c r="R1472" s="2216"/>
      <c r="S1472" s="1260"/>
      <c r="T1472" s="446"/>
      <c r="U1472" s="70"/>
      <c r="V1472" s="70"/>
      <c r="W1472" s="70"/>
      <c r="X1472" s="153" t="e">
        <f>SUM(#REF!)</f>
        <v>#REF!</v>
      </c>
      <c r="Y1472" s="679"/>
      <c r="Z1472" s="679"/>
      <c r="AA1472" s="679"/>
      <c r="AB1472" s="679"/>
      <c r="AC1472" s="679"/>
      <c r="AD1472" s="181">
        <v>218000</v>
      </c>
      <c r="AE1472" s="147"/>
      <c r="AF1472" s="162"/>
      <c r="AG1472" s="153">
        <f>SUM(AD1472:AF1472)</f>
        <v>218000</v>
      </c>
      <c r="AH1472" s="160" t="e">
        <f t="shared" si="146"/>
        <v>#REF!</v>
      </c>
    </row>
    <row r="1473" spans="8:34" hidden="1">
      <c r="H1473" s="2909"/>
      <c r="I1473" s="2909"/>
      <c r="J1473" s="2909"/>
      <c r="K1473" s="2909"/>
      <c r="L1473" s="2910"/>
      <c r="M1473" s="2910"/>
      <c r="N1473" s="2910"/>
      <c r="O1473" s="2910"/>
      <c r="P1473" s="2911"/>
      <c r="Q1473" s="1260"/>
      <c r="R1473" s="2216"/>
      <c r="S1473" s="1260"/>
      <c r="T1473" s="446"/>
      <c r="U1473" s="70"/>
      <c r="V1473" s="70"/>
      <c r="W1473" s="70"/>
      <c r="X1473" s="145" t="e">
        <f t="shared" ref="X1473:AG1473" si="148">SUM(X1474:X1479)</f>
        <v>#REF!</v>
      </c>
      <c r="Y1473" s="446"/>
      <c r="Z1473" s="446"/>
      <c r="AA1473" s="446"/>
      <c r="AB1473" s="446"/>
      <c r="AC1473" s="446"/>
      <c r="AD1473" s="150">
        <f t="shared" si="148"/>
        <v>89000</v>
      </c>
      <c r="AE1473" s="147">
        <f t="shared" si="148"/>
        <v>0</v>
      </c>
      <c r="AF1473" s="162">
        <f t="shared" si="148"/>
        <v>0</v>
      </c>
      <c r="AG1473" s="145">
        <f t="shared" si="148"/>
        <v>89000</v>
      </c>
      <c r="AH1473" s="160" t="e">
        <f t="shared" si="146"/>
        <v>#REF!</v>
      </c>
    </row>
    <row r="1474" spans="8:34" hidden="1">
      <c r="H1474" s="2924"/>
      <c r="I1474" s="2924"/>
      <c r="J1474" s="2924"/>
      <c r="K1474" s="2924"/>
      <c r="L1474" s="2925"/>
      <c r="M1474" s="2925"/>
      <c r="N1474" s="2925"/>
      <c r="O1474" s="2925"/>
      <c r="P1474" s="2926"/>
      <c r="Q1474" s="1748"/>
      <c r="R1474" s="2221"/>
      <c r="S1474" s="1748"/>
      <c r="T1474" s="679"/>
      <c r="U1474" s="53"/>
      <c r="V1474" s="53"/>
      <c r="W1474" s="53"/>
      <c r="X1474" s="153" t="e">
        <f>SUM(#REF!)</f>
        <v>#REF!</v>
      </c>
      <c r="Y1474" s="679"/>
      <c r="Z1474" s="679"/>
      <c r="AA1474" s="679"/>
      <c r="AB1474" s="679"/>
      <c r="AC1474" s="679"/>
      <c r="AD1474" s="181">
        <v>2000</v>
      </c>
      <c r="AE1474" s="151"/>
      <c r="AF1474" s="163"/>
      <c r="AG1474" s="153">
        <f>SUM(AD1474:AF1474)</f>
        <v>2000</v>
      </c>
      <c r="AH1474" s="160" t="e">
        <f t="shared" si="146"/>
        <v>#REF!</v>
      </c>
    </row>
    <row r="1475" spans="8:34" hidden="1">
      <c r="H1475" s="2924"/>
      <c r="I1475" s="2924"/>
      <c r="J1475" s="2924"/>
      <c r="K1475" s="2924"/>
      <c r="L1475" s="2925"/>
      <c r="M1475" s="2925"/>
      <c r="N1475" s="2925"/>
      <c r="O1475" s="2925"/>
      <c r="P1475" s="2926"/>
      <c r="Q1475" s="1748"/>
      <c r="R1475" s="2221"/>
      <c r="S1475" s="1748"/>
      <c r="T1475" s="679"/>
      <c r="U1475" s="53"/>
      <c r="V1475" s="53"/>
      <c r="W1475" s="53"/>
      <c r="X1475" s="153" t="e">
        <f>SUM(#REF!)</f>
        <v>#REF!</v>
      </c>
      <c r="Y1475" s="679"/>
      <c r="Z1475" s="679"/>
      <c r="AA1475" s="679"/>
      <c r="AB1475" s="679"/>
      <c r="AC1475" s="679"/>
      <c r="AD1475" s="181">
        <v>38000</v>
      </c>
      <c r="AE1475" s="151"/>
      <c r="AF1475" s="163"/>
      <c r="AG1475" s="153">
        <f>SUM(AD1475:AF1475)</f>
        <v>38000</v>
      </c>
      <c r="AH1475" s="160" t="e">
        <f t="shared" si="146"/>
        <v>#REF!</v>
      </c>
    </row>
    <row r="1476" spans="8:34" hidden="1">
      <c r="H1476" s="2924"/>
      <c r="I1476" s="2924"/>
      <c r="J1476" s="2924"/>
      <c r="K1476" s="2924"/>
      <c r="L1476" s="2925"/>
      <c r="M1476" s="2925"/>
      <c r="N1476" s="2925"/>
      <c r="O1476" s="2925"/>
      <c r="P1476" s="2926"/>
      <c r="Q1476" s="1748"/>
      <c r="R1476" s="2221"/>
      <c r="S1476" s="1748"/>
      <c r="T1476" s="679"/>
      <c r="U1476" s="53"/>
      <c r="V1476" s="53"/>
      <c r="W1476" s="53"/>
      <c r="X1476" s="153" t="e">
        <f>SUM(#REF!)</f>
        <v>#REF!</v>
      </c>
      <c r="Y1476" s="679"/>
      <c r="Z1476" s="679"/>
      <c r="AA1476" s="679"/>
      <c r="AB1476" s="679"/>
      <c r="AC1476" s="679"/>
      <c r="AD1476" s="181">
        <v>10000</v>
      </c>
      <c r="AE1476" s="151"/>
      <c r="AF1476" s="163"/>
      <c r="AG1476" s="153">
        <f>SUM(AD1476:AF1476)</f>
        <v>10000</v>
      </c>
      <c r="AH1476" s="160" t="e">
        <f t="shared" si="146"/>
        <v>#REF!</v>
      </c>
    </row>
    <row r="1477" spans="8:34" hidden="1">
      <c r="H1477" s="2924"/>
      <c r="I1477" s="2924"/>
      <c r="J1477" s="2924"/>
      <c r="K1477" s="2924"/>
      <c r="L1477" s="2925"/>
      <c r="M1477" s="2925"/>
      <c r="N1477" s="2925"/>
      <c r="O1477" s="2925"/>
      <c r="P1477" s="2926"/>
      <c r="Q1477" s="1748"/>
      <c r="R1477" s="2221"/>
      <c r="S1477" s="1748"/>
      <c r="T1477" s="679"/>
      <c r="U1477" s="53"/>
      <c r="V1477" s="53"/>
      <c r="W1477" s="53"/>
      <c r="X1477" s="153" t="e">
        <f>SUM(#REF!)</f>
        <v>#REF!</v>
      </c>
      <c r="Y1477" s="679"/>
      <c r="Z1477" s="679"/>
      <c r="AA1477" s="679"/>
      <c r="AB1477" s="679"/>
      <c r="AC1477" s="679"/>
      <c r="AD1477" s="181">
        <v>17000</v>
      </c>
      <c r="AE1477" s="151"/>
      <c r="AF1477" s="163"/>
      <c r="AG1477" s="153">
        <f>SUM(AD1477:AF1477)</f>
        <v>17000</v>
      </c>
      <c r="AH1477" s="160" t="e">
        <f t="shared" si="146"/>
        <v>#REF!</v>
      </c>
    </row>
    <row r="1478" spans="8:34" hidden="1">
      <c r="H1478" s="2924"/>
      <c r="I1478" s="2924"/>
      <c r="J1478" s="2924"/>
      <c r="K1478" s="2924"/>
      <c r="L1478" s="2925"/>
      <c r="M1478" s="2925"/>
      <c r="N1478" s="2925"/>
      <c r="O1478" s="2925"/>
      <c r="P1478" s="2926"/>
      <c r="Q1478" s="1748"/>
      <c r="R1478" s="2221"/>
      <c r="S1478" s="1748"/>
      <c r="T1478" s="679"/>
      <c r="U1478" s="53"/>
      <c r="V1478" s="53"/>
      <c r="W1478" s="53"/>
      <c r="X1478" s="153" t="e">
        <f>SUM(#REF!)</f>
        <v>#REF!</v>
      </c>
      <c r="Y1478" s="679"/>
      <c r="Z1478" s="679"/>
      <c r="AA1478" s="679"/>
      <c r="AB1478" s="679"/>
      <c r="AC1478" s="679"/>
      <c r="AD1478" s="181">
        <v>10000</v>
      </c>
      <c r="AE1478" s="151"/>
      <c r="AF1478" s="163"/>
      <c r="AG1478" s="153">
        <f>SUM(AD1478:AF1478)</f>
        <v>10000</v>
      </c>
      <c r="AH1478" s="160" t="e">
        <f t="shared" si="146"/>
        <v>#REF!</v>
      </c>
    </row>
    <row r="1479" spans="8:34" hidden="1">
      <c r="H1479" s="2909"/>
      <c r="I1479" s="2909"/>
      <c r="J1479" s="2909"/>
      <c r="K1479" s="2909"/>
      <c r="L1479" s="2910"/>
      <c r="M1479" s="2910"/>
      <c r="N1479" s="2910"/>
      <c r="O1479" s="2910"/>
      <c r="P1479" s="2911"/>
      <c r="Q1479" s="1260"/>
      <c r="R1479" s="2216"/>
      <c r="S1479" s="1260"/>
      <c r="T1479" s="446"/>
      <c r="U1479" s="70"/>
      <c r="V1479" s="70"/>
      <c r="W1479" s="70"/>
      <c r="X1479" s="145" t="e">
        <f t="shared" ref="X1479:AG1479" si="149">SUM(X1480:X1483)</f>
        <v>#REF!</v>
      </c>
      <c r="Y1479" s="446"/>
      <c r="Z1479" s="446"/>
      <c r="AA1479" s="446"/>
      <c r="AB1479" s="446"/>
      <c r="AC1479" s="446"/>
      <c r="AD1479" s="150">
        <f t="shared" si="149"/>
        <v>12000</v>
      </c>
      <c r="AE1479" s="147">
        <f t="shared" si="149"/>
        <v>0</v>
      </c>
      <c r="AF1479" s="162">
        <f t="shared" si="149"/>
        <v>0</v>
      </c>
      <c r="AG1479" s="145">
        <f t="shared" si="149"/>
        <v>12000</v>
      </c>
      <c r="AH1479" s="160" t="e">
        <f t="shared" si="146"/>
        <v>#REF!</v>
      </c>
    </row>
    <row r="1480" spans="8:34" hidden="1">
      <c r="H1480" s="2924"/>
      <c r="I1480" s="2924"/>
      <c r="J1480" s="2924"/>
      <c r="K1480" s="2924"/>
      <c r="L1480" s="2925"/>
      <c r="M1480" s="2925"/>
      <c r="N1480" s="2925"/>
      <c r="O1480" s="2925"/>
      <c r="P1480" s="2926"/>
      <c r="Q1480" s="1748"/>
      <c r="R1480" s="2221"/>
      <c r="S1480" s="1748"/>
      <c r="T1480" s="679"/>
      <c r="U1480" s="53"/>
      <c r="V1480" s="53"/>
      <c r="W1480" s="53"/>
      <c r="X1480" s="153" t="e">
        <f>SUM(#REF!)</f>
        <v>#REF!</v>
      </c>
      <c r="Y1480" s="679"/>
      <c r="Z1480" s="679"/>
      <c r="AA1480" s="679"/>
      <c r="AB1480" s="679"/>
      <c r="AC1480" s="679"/>
      <c r="AD1480" s="181">
        <v>2000</v>
      </c>
      <c r="AE1480" s="151"/>
      <c r="AF1480" s="163"/>
      <c r="AG1480" s="153">
        <f>SUM(AD1480:AF1480)</f>
        <v>2000</v>
      </c>
      <c r="AH1480" s="160" t="e">
        <f t="shared" si="146"/>
        <v>#REF!</v>
      </c>
    </row>
    <row r="1481" spans="8:34" hidden="1">
      <c r="H1481" s="2924"/>
      <c r="I1481" s="2924"/>
      <c r="J1481" s="2924"/>
      <c r="K1481" s="2924"/>
      <c r="L1481" s="2925"/>
      <c r="M1481" s="2925"/>
      <c r="N1481" s="2925"/>
      <c r="O1481" s="2925"/>
      <c r="P1481" s="2926"/>
      <c r="Q1481" s="1748"/>
      <c r="R1481" s="2221"/>
      <c r="S1481" s="1748"/>
      <c r="T1481" s="679"/>
      <c r="U1481" s="53"/>
      <c r="V1481" s="53"/>
      <c r="W1481" s="53"/>
      <c r="X1481" s="153" t="e">
        <f>SUM(#REF!)</f>
        <v>#REF!</v>
      </c>
      <c r="Y1481" s="679"/>
      <c r="Z1481" s="679"/>
      <c r="AA1481" s="679"/>
      <c r="AB1481" s="679"/>
      <c r="AC1481" s="679"/>
      <c r="AD1481" s="180">
        <v>2000</v>
      </c>
      <c r="AE1481" s="151"/>
      <c r="AF1481" s="163"/>
      <c r="AG1481" s="153">
        <f>SUM(AD1481:AF1481)</f>
        <v>2000</v>
      </c>
      <c r="AH1481" s="160"/>
    </row>
    <row r="1482" spans="8:34" hidden="1">
      <c r="H1482" s="2924"/>
      <c r="I1482" s="2924"/>
      <c r="J1482" s="2924"/>
      <c r="K1482" s="2924"/>
      <c r="L1482" s="2925"/>
      <c r="M1482" s="2925"/>
      <c r="N1482" s="2925"/>
      <c r="O1482" s="2925"/>
      <c r="P1482" s="2926"/>
      <c r="Q1482" s="1748"/>
      <c r="R1482" s="2221"/>
      <c r="S1482" s="1748"/>
      <c r="T1482" s="679"/>
      <c r="U1482" s="53"/>
      <c r="V1482" s="53"/>
      <c r="W1482" s="53"/>
      <c r="X1482" s="153" t="e">
        <f>SUM(#REF!)</f>
        <v>#REF!</v>
      </c>
      <c r="Y1482" s="679"/>
      <c r="Z1482" s="679"/>
      <c r="AA1482" s="679"/>
      <c r="AB1482" s="679"/>
      <c r="AC1482" s="679"/>
      <c r="AD1482" s="178">
        <v>7000</v>
      </c>
      <c r="AE1482" s="151"/>
      <c r="AF1482" s="163"/>
      <c r="AG1482" s="153">
        <f>SUM(AD1482:AF1482)</f>
        <v>7000</v>
      </c>
      <c r="AH1482" s="160" t="e">
        <f>AG1482/X1482*100</f>
        <v>#REF!</v>
      </c>
    </row>
    <row r="1483" spans="8:34" hidden="1">
      <c r="H1483" s="2924"/>
      <c r="I1483" s="2924"/>
      <c r="J1483" s="2924"/>
      <c r="K1483" s="2924"/>
      <c r="L1483" s="2925"/>
      <c r="M1483" s="2925"/>
      <c r="N1483" s="2925"/>
      <c r="O1483" s="2925"/>
      <c r="P1483" s="2926"/>
      <c r="Q1483" s="1748"/>
      <c r="R1483" s="2221"/>
      <c r="S1483" s="1748"/>
      <c r="T1483" s="679"/>
      <c r="U1483" s="53"/>
      <c r="V1483" s="53"/>
      <c r="W1483" s="53"/>
      <c r="X1483" s="153" t="e">
        <f>SUM(#REF!)</f>
        <v>#REF!</v>
      </c>
      <c r="Y1483" s="679"/>
      <c r="Z1483" s="679"/>
      <c r="AA1483" s="679"/>
      <c r="AB1483" s="679"/>
      <c r="AC1483" s="679"/>
      <c r="AD1483" s="180">
        <v>1000</v>
      </c>
      <c r="AE1483" s="151"/>
      <c r="AF1483" s="163"/>
      <c r="AG1483" s="153">
        <f>SUM(AD1483:AF1483)</f>
        <v>1000</v>
      </c>
      <c r="AH1483" s="160" t="e">
        <f>AG1483/X1483*100</f>
        <v>#REF!</v>
      </c>
    </row>
    <row r="1484" spans="8:34" hidden="1">
      <c r="H1484" s="2909"/>
      <c r="I1484" s="2909"/>
      <c r="J1484" s="2909"/>
      <c r="K1484" s="2909"/>
      <c r="L1484" s="2910"/>
      <c r="M1484" s="2910"/>
      <c r="N1484" s="2910"/>
      <c r="O1484" s="2910"/>
      <c r="P1484" s="2911"/>
      <c r="Q1484" s="1260"/>
      <c r="R1484" s="2216"/>
      <c r="S1484" s="1260"/>
      <c r="T1484" s="446"/>
      <c r="U1484" s="70"/>
      <c r="V1484" s="70"/>
      <c r="W1484" s="70"/>
      <c r="X1484" s="145" t="e">
        <f>SUM(X1485,X1498:X1513)</f>
        <v>#REF!</v>
      </c>
      <c r="Y1484" s="446"/>
      <c r="Z1484" s="446"/>
      <c r="AA1484" s="446"/>
      <c r="AB1484" s="446"/>
      <c r="AC1484" s="446"/>
      <c r="AD1484" s="161">
        <f>SUM(AD1485,AD1498:AD1513,AD1497)</f>
        <v>408000</v>
      </c>
      <c r="AE1484" s="147">
        <f>SUM(AE1485,AE1498:AE1513)</f>
        <v>0</v>
      </c>
      <c r="AF1484" s="162">
        <f>SUM(AF1485,AF1498:AF1513,AF1493:AF1495)</f>
        <v>0</v>
      </c>
      <c r="AG1484" s="145">
        <f>SUM(AG1485,AG1498:AG1513,AG1493:AG1495,AG1497,AG1496)</f>
        <v>408000</v>
      </c>
      <c r="AH1484" s="160" t="e">
        <f>AG1484/X1484*100</f>
        <v>#REF!</v>
      </c>
    </row>
    <row r="1485" spans="8:34" hidden="1">
      <c r="H1485" s="2909"/>
      <c r="I1485" s="2909"/>
      <c r="J1485" s="2909"/>
      <c r="K1485" s="2909"/>
      <c r="L1485" s="2910"/>
      <c r="M1485" s="2910"/>
      <c r="N1485" s="2910"/>
      <c r="O1485" s="2910"/>
      <c r="P1485" s="2911"/>
      <c r="Q1485" s="1260"/>
      <c r="R1485" s="2216"/>
      <c r="S1485" s="1260"/>
      <c r="T1485" s="446"/>
      <c r="U1485" s="70"/>
      <c r="V1485" s="70"/>
      <c r="W1485" s="70"/>
      <c r="X1485" s="145" t="e">
        <f>SUM(X1486:X1492)</f>
        <v>#REF!</v>
      </c>
      <c r="Y1485" s="446"/>
      <c r="Z1485" s="446"/>
      <c r="AA1485" s="446"/>
      <c r="AB1485" s="446"/>
      <c r="AC1485" s="446"/>
      <c r="AD1485" s="161">
        <f>SUM(AD1486:AD1492)</f>
        <v>108000</v>
      </c>
      <c r="AE1485" s="147">
        <f>SUM(AE1486:AE1491)</f>
        <v>0</v>
      </c>
      <c r="AF1485" s="162">
        <f>SUM(AF1486:AF1491)</f>
        <v>0</v>
      </c>
      <c r="AG1485" s="145">
        <f>SUM(AG1486:AG1492)</f>
        <v>108000</v>
      </c>
      <c r="AH1485" s="160" t="e">
        <f>AG1485/X1485*100</f>
        <v>#REF!</v>
      </c>
    </row>
    <row r="1486" spans="8:34" hidden="1">
      <c r="H1486" s="2924"/>
      <c r="I1486" s="2924"/>
      <c r="J1486" s="2924"/>
      <c r="K1486" s="2924"/>
      <c r="L1486" s="2925"/>
      <c r="M1486" s="2925"/>
      <c r="N1486" s="2925"/>
      <c r="O1486" s="2925"/>
      <c r="P1486" s="2926"/>
      <c r="Q1486" s="1748"/>
      <c r="R1486" s="2221"/>
      <c r="S1486" s="1748"/>
      <c r="T1486" s="679"/>
      <c r="U1486" s="53"/>
      <c r="V1486" s="53"/>
      <c r="W1486" s="53"/>
      <c r="X1486" s="153" t="e">
        <f>SUM(#REF!)</f>
        <v>#REF!</v>
      </c>
      <c r="Y1486" s="679"/>
      <c r="Z1486" s="679"/>
      <c r="AA1486" s="679"/>
      <c r="AB1486" s="679"/>
      <c r="AC1486" s="679"/>
      <c r="AD1486" s="180">
        <v>15000</v>
      </c>
      <c r="AE1486" s="151"/>
      <c r="AF1486" s="163"/>
      <c r="AG1486" s="153">
        <f>SUM(AD1486:AF1486)</f>
        <v>15000</v>
      </c>
      <c r="AH1486" s="160"/>
    </row>
    <row r="1487" spans="8:34" hidden="1">
      <c r="H1487" s="2924"/>
      <c r="I1487" s="2924"/>
      <c r="J1487" s="2924"/>
      <c r="K1487" s="2924"/>
      <c r="L1487" s="2925"/>
      <c r="M1487" s="2925"/>
      <c r="N1487" s="2925"/>
      <c r="O1487" s="2925"/>
      <c r="P1487" s="2926"/>
      <c r="Q1487" s="1748"/>
      <c r="R1487" s="2221"/>
      <c r="S1487" s="1748"/>
      <c r="T1487" s="679"/>
      <c r="U1487" s="53"/>
      <c r="V1487" s="53"/>
      <c r="W1487" s="53"/>
      <c r="X1487" s="153" t="e">
        <f>SUM(#REF!)</f>
        <v>#REF!</v>
      </c>
      <c r="Y1487" s="679"/>
      <c r="Z1487" s="679"/>
      <c r="AA1487" s="679"/>
      <c r="AB1487" s="679"/>
      <c r="AC1487" s="679"/>
      <c r="AD1487" s="180">
        <v>15000</v>
      </c>
      <c r="AE1487" s="151"/>
      <c r="AF1487" s="163"/>
      <c r="AG1487" s="153">
        <f>SUM(AD1487:AF1487)</f>
        <v>15000</v>
      </c>
      <c r="AH1487" s="160" t="e">
        <f>AG1487/X1487*100</f>
        <v>#REF!</v>
      </c>
    </row>
    <row r="1488" spans="8:34" hidden="1">
      <c r="H1488" s="2936"/>
      <c r="I1488" s="2936"/>
      <c r="J1488" s="2936"/>
      <c r="K1488" s="2936"/>
      <c r="L1488" s="2937"/>
      <c r="M1488" s="2937"/>
      <c r="N1488" s="2937"/>
      <c r="O1488" s="2937"/>
      <c r="P1488" s="2938"/>
      <c r="Q1488" s="1752"/>
      <c r="R1488" s="2221"/>
      <c r="S1488" s="1752"/>
      <c r="T1488" s="1148"/>
      <c r="U1488" s="969"/>
      <c r="V1488" s="969"/>
      <c r="W1488" s="969"/>
      <c r="X1488" s="153" t="e">
        <f>SUM(#REF!)</f>
        <v>#REF!</v>
      </c>
      <c r="Y1488" s="679"/>
      <c r="Z1488" s="679"/>
      <c r="AA1488" s="679"/>
      <c r="AB1488" s="679"/>
      <c r="AC1488" s="679"/>
      <c r="AD1488" s="180">
        <v>50000</v>
      </c>
      <c r="AE1488" s="151"/>
      <c r="AF1488" s="190"/>
      <c r="AG1488" s="153">
        <f t="shared" ref="AG1488:AG1498" si="150">SUM(AD1488:AF1488)</f>
        <v>50000</v>
      </c>
      <c r="AH1488" s="160" t="e">
        <f>AG1488/X1488*100</f>
        <v>#REF!</v>
      </c>
    </row>
    <row r="1489" spans="8:34" hidden="1">
      <c r="H1489" s="2924"/>
      <c r="I1489" s="2924"/>
      <c r="J1489" s="2924"/>
      <c r="K1489" s="2924"/>
      <c r="L1489" s="2925"/>
      <c r="M1489" s="2925"/>
      <c r="N1489" s="2925"/>
      <c r="O1489" s="2925"/>
      <c r="P1489" s="2926"/>
      <c r="Q1489" s="1748"/>
      <c r="R1489" s="2221"/>
      <c r="S1489" s="1748"/>
      <c r="T1489" s="679"/>
      <c r="U1489" s="53"/>
      <c r="V1489" s="53"/>
      <c r="W1489" s="53"/>
      <c r="X1489" s="153" t="e">
        <f>SUM(#REF!)</f>
        <v>#REF!</v>
      </c>
      <c r="Y1489" s="679"/>
      <c r="Z1489" s="679"/>
      <c r="AA1489" s="679"/>
      <c r="AB1489" s="679"/>
      <c r="AC1489" s="679"/>
      <c r="AD1489" s="180">
        <v>10000</v>
      </c>
      <c r="AE1489" s="151"/>
      <c r="AF1489" s="163"/>
      <c r="AG1489" s="153">
        <f t="shared" si="150"/>
        <v>10000</v>
      </c>
      <c r="AH1489" s="160" t="e">
        <f>AG1489/X1489*100</f>
        <v>#REF!</v>
      </c>
    </row>
    <row r="1490" spans="8:34" hidden="1">
      <c r="H1490" s="2924"/>
      <c r="I1490" s="2924"/>
      <c r="J1490" s="2924"/>
      <c r="K1490" s="2924"/>
      <c r="L1490" s="2925"/>
      <c r="M1490" s="2925"/>
      <c r="N1490" s="2925"/>
      <c r="O1490" s="2925"/>
      <c r="P1490" s="2926"/>
      <c r="Q1490" s="1748"/>
      <c r="R1490" s="2221"/>
      <c r="S1490" s="1748"/>
      <c r="T1490" s="679"/>
      <c r="U1490" s="53"/>
      <c r="V1490" s="53"/>
      <c r="W1490" s="53"/>
      <c r="X1490" s="153" t="e">
        <f>SUM(#REF!)</f>
        <v>#REF!</v>
      </c>
      <c r="Y1490" s="679"/>
      <c r="Z1490" s="679"/>
      <c r="AA1490" s="679"/>
      <c r="AB1490" s="679"/>
      <c r="AC1490" s="679"/>
      <c r="AD1490" s="180">
        <v>15000</v>
      </c>
      <c r="AE1490" s="151"/>
      <c r="AF1490" s="163"/>
      <c r="AG1490" s="153">
        <f t="shared" si="150"/>
        <v>15000</v>
      </c>
      <c r="AH1490" s="160" t="e">
        <f>AG1490/X1490*100</f>
        <v>#REF!</v>
      </c>
    </row>
    <row r="1491" spans="8:34" hidden="1">
      <c r="H1491" s="2924"/>
      <c r="I1491" s="2924"/>
      <c r="J1491" s="2924"/>
      <c r="K1491" s="2924"/>
      <c r="L1491" s="2925"/>
      <c r="M1491" s="2925"/>
      <c r="N1491" s="2925"/>
      <c r="O1491" s="2925"/>
      <c r="P1491" s="2926"/>
      <c r="Q1491" s="1748"/>
      <c r="R1491" s="2221"/>
      <c r="S1491" s="1748"/>
      <c r="T1491" s="679"/>
      <c r="U1491" s="53"/>
      <c r="V1491" s="53"/>
      <c r="W1491" s="53"/>
      <c r="X1491" s="153" t="e">
        <f>SUM(#REF!)</f>
        <v>#REF!</v>
      </c>
      <c r="Y1491" s="679"/>
      <c r="Z1491" s="679"/>
      <c r="AA1491" s="679"/>
      <c r="AB1491" s="679"/>
      <c r="AC1491" s="679"/>
      <c r="AD1491" s="180"/>
      <c r="AE1491" s="151"/>
      <c r="AF1491" s="163"/>
      <c r="AG1491" s="153">
        <f t="shared" si="150"/>
        <v>0</v>
      </c>
      <c r="AH1491" s="160"/>
    </row>
    <row r="1492" spans="8:34" hidden="1">
      <c r="H1492" s="2924"/>
      <c r="I1492" s="2924"/>
      <c r="J1492" s="2924"/>
      <c r="K1492" s="2924"/>
      <c r="L1492" s="2925"/>
      <c r="M1492" s="2925"/>
      <c r="N1492" s="2925"/>
      <c r="O1492" s="2925"/>
      <c r="P1492" s="2926"/>
      <c r="Q1492" s="1748"/>
      <c r="R1492" s="2221"/>
      <c r="S1492" s="1748"/>
      <c r="T1492" s="679"/>
      <c r="U1492" s="53"/>
      <c r="V1492" s="53"/>
      <c r="W1492" s="53"/>
      <c r="X1492" s="153" t="e">
        <f>SUM(#REF!)</f>
        <v>#REF!</v>
      </c>
      <c r="Y1492" s="679"/>
      <c r="Z1492" s="679"/>
      <c r="AA1492" s="679"/>
      <c r="AB1492" s="679"/>
      <c r="AC1492" s="679"/>
      <c r="AD1492" s="180">
        <v>3000</v>
      </c>
      <c r="AE1492" s="151"/>
      <c r="AF1492" s="163"/>
      <c r="AG1492" s="153">
        <f t="shared" si="150"/>
        <v>3000</v>
      </c>
      <c r="AH1492" s="160" t="e">
        <f>AG1492/X1492*100</f>
        <v>#REF!</v>
      </c>
    </row>
    <row r="1493" spans="8:34" hidden="1">
      <c r="H1493" s="2924"/>
      <c r="I1493" s="2924"/>
      <c r="J1493" s="2924"/>
      <c r="K1493" s="2924"/>
      <c r="L1493" s="2925"/>
      <c r="M1493" s="2925"/>
      <c r="N1493" s="2925"/>
      <c r="O1493" s="2925"/>
      <c r="P1493" s="2926"/>
      <c r="Q1493" s="1748"/>
      <c r="R1493" s="2221"/>
      <c r="S1493" s="1748"/>
      <c r="T1493" s="679"/>
      <c r="U1493" s="53"/>
      <c r="V1493" s="53"/>
      <c r="W1493" s="53"/>
      <c r="X1493" s="153"/>
      <c r="Y1493" s="679"/>
      <c r="Z1493" s="679"/>
      <c r="AA1493" s="679"/>
      <c r="AB1493" s="679"/>
      <c r="AC1493" s="679"/>
      <c r="AD1493" s="180"/>
      <c r="AE1493" s="151"/>
      <c r="AF1493" s="163"/>
      <c r="AG1493" s="153">
        <f t="shared" si="150"/>
        <v>0</v>
      </c>
      <c r="AH1493" s="160"/>
    </row>
    <row r="1494" spans="8:34" hidden="1">
      <c r="H1494" s="2924"/>
      <c r="I1494" s="2924"/>
      <c r="J1494" s="2924"/>
      <c r="K1494" s="2924"/>
      <c r="L1494" s="2925"/>
      <c r="M1494" s="2925"/>
      <c r="N1494" s="2925"/>
      <c r="O1494" s="2925"/>
      <c r="P1494" s="2926"/>
      <c r="Q1494" s="1748"/>
      <c r="R1494" s="2221"/>
      <c r="S1494" s="1748"/>
      <c r="T1494" s="679"/>
      <c r="U1494" s="53"/>
      <c r="V1494" s="53"/>
      <c r="W1494" s="53"/>
      <c r="X1494" s="153"/>
      <c r="Y1494" s="679"/>
      <c r="Z1494" s="679"/>
      <c r="AA1494" s="679"/>
      <c r="AB1494" s="679"/>
      <c r="AC1494" s="679"/>
      <c r="AD1494" s="180"/>
      <c r="AE1494" s="151"/>
      <c r="AF1494" s="163"/>
      <c r="AG1494" s="153">
        <f t="shared" si="150"/>
        <v>0</v>
      </c>
      <c r="AH1494" s="160"/>
    </row>
    <row r="1495" spans="8:34" hidden="1">
      <c r="H1495" s="2924"/>
      <c r="I1495" s="2924"/>
      <c r="J1495" s="2924"/>
      <c r="K1495" s="2924"/>
      <c r="L1495" s="2925"/>
      <c r="M1495" s="2925"/>
      <c r="N1495" s="2925"/>
      <c r="O1495" s="2925"/>
      <c r="P1495" s="2926"/>
      <c r="Q1495" s="1748"/>
      <c r="R1495" s="2221"/>
      <c r="S1495" s="1748"/>
      <c r="T1495" s="679"/>
      <c r="U1495" s="53"/>
      <c r="V1495" s="53"/>
      <c r="W1495" s="53"/>
      <c r="X1495" s="153"/>
      <c r="Y1495" s="679"/>
      <c r="Z1495" s="679"/>
      <c r="AA1495" s="679"/>
      <c r="AB1495" s="679"/>
      <c r="AC1495" s="679"/>
      <c r="AD1495" s="180"/>
      <c r="AE1495" s="151"/>
      <c r="AF1495" s="163"/>
      <c r="AG1495" s="153">
        <f t="shared" si="150"/>
        <v>0</v>
      </c>
      <c r="AH1495" s="160"/>
    </row>
    <row r="1496" spans="8:34" hidden="1">
      <c r="H1496" s="2909"/>
      <c r="I1496" s="2909"/>
      <c r="J1496" s="2909"/>
      <c r="K1496" s="2909"/>
      <c r="L1496" s="2910"/>
      <c r="M1496" s="2910"/>
      <c r="N1496" s="2910"/>
      <c r="O1496" s="2910"/>
      <c r="P1496" s="2911"/>
      <c r="Q1496" s="1260"/>
      <c r="R1496" s="2216"/>
      <c r="S1496" s="1260"/>
      <c r="T1496" s="446"/>
      <c r="U1496" s="70"/>
      <c r="V1496" s="70"/>
      <c r="W1496" s="70"/>
      <c r="X1496" s="145"/>
      <c r="Y1496" s="446"/>
      <c r="Z1496" s="446"/>
      <c r="AA1496" s="446"/>
      <c r="AB1496" s="446"/>
      <c r="AC1496" s="446"/>
      <c r="AD1496" s="161"/>
      <c r="AE1496" s="147"/>
      <c r="AF1496" s="162"/>
      <c r="AG1496" s="191"/>
      <c r="AH1496" s="160"/>
    </row>
    <row r="1497" spans="8:34" hidden="1">
      <c r="H1497" s="2924"/>
      <c r="I1497" s="2924"/>
      <c r="J1497" s="2924"/>
      <c r="K1497" s="2924"/>
      <c r="L1497" s="2925"/>
      <c r="M1497" s="2925"/>
      <c r="N1497" s="2925"/>
      <c r="O1497" s="2925"/>
      <c r="P1497" s="2926"/>
      <c r="Q1497" s="1748"/>
      <c r="R1497" s="2221"/>
      <c r="S1497" s="1748"/>
      <c r="T1497" s="679"/>
      <c r="U1497" s="53"/>
      <c r="V1497" s="53"/>
      <c r="W1497" s="53"/>
      <c r="X1497" s="153"/>
      <c r="Y1497" s="679"/>
      <c r="Z1497" s="679"/>
      <c r="AA1497" s="679"/>
      <c r="AB1497" s="679"/>
      <c r="AC1497" s="679"/>
      <c r="AD1497" s="192">
        <v>300000</v>
      </c>
      <c r="AE1497" s="151"/>
      <c r="AF1497" s="163"/>
      <c r="AG1497" s="191">
        <f t="shared" si="150"/>
        <v>300000</v>
      </c>
      <c r="AH1497" s="160"/>
    </row>
    <row r="1498" spans="8:34" hidden="1">
      <c r="H1498" s="2909"/>
      <c r="I1498" s="2909"/>
      <c r="J1498" s="2909"/>
      <c r="K1498" s="2909"/>
      <c r="L1498" s="2910"/>
      <c r="M1498" s="2910"/>
      <c r="N1498" s="2910"/>
      <c r="O1498" s="2910"/>
      <c r="P1498" s="2911"/>
      <c r="Q1498" s="1260"/>
      <c r="R1498" s="2216"/>
      <c r="S1498" s="1260"/>
      <c r="T1498" s="446"/>
      <c r="U1498" s="70"/>
      <c r="V1498" s="70"/>
      <c r="W1498" s="70"/>
      <c r="X1498" s="145" t="e">
        <f>SUM(#REF!)</f>
        <v>#REF!</v>
      </c>
      <c r="Y1498" s="446"/>
      <c r="Z1498" s="446"/>
      <c r="AA1498" s="446"/>
      <c r="AB1498" s="446"/>
      <c r="AC1498" s="446"/>
      <c r="AD1498" s="161"/>
      <c r="AE1498" s="147"/>
      <c r="AF1498" s="162"/>
      <c r="AG1498" s="153">
        <f t="shared" si="150"/>
        <v>0</v>
      </c>
      <c r="AH1498" s="160" t="e">
        <f>AG1498/X1498*100</f>
        <v>#REF!</v>
      </c>
    </row>
    <row r="1499" spans="8:34" hidden="1">
      <c r="H1499" s="2909"/>
      <c r="I1499" s="2909"/>
      <c r="J1499" s="2909"/>
      <c r="K1499" s="2909"/>
      <c r="L1499" s="2910"/>
      <c r="M1499" s="2910"/>
      <c r="N1499" s="2910"/>
      <c r="O1499" s="2910"/>
      <c r="P1499" s="2911"/>
      <c r="Q1499" s="1260"/>
      <c r="R1499" s="2216"/>
      <c r="S1499" s="1260"/>
      <c r="T1499" s="446"/>
      <c r="U1499" s="70"/>
      <c r="V1499" s="70"/>
      <c r="W1499" s="70"/>
      <c r="X1499" s="145" t="e">
        <f>SUM(#REF!)</f>
        <v>#REF!</v>
      </c>
      <c r="Y1499" s="446"/>
      <c r="Z1499" s="446"/>
      <c r="AA1499" s="446"/>
      <c r="AB1499" s="446"/>
      <c r="AC1499" s="446"/>
      <c r="AD1499" s="150"/>
      <c r="AE1499" s="147"/>
      <c r="AF1499" s="162"/>
      <c r="AG1499" s="145">
        <f>SUM(AD1499:AF1499)</f>
        <v>0</v>
      </c>
      <c r="AH1499" s="160"/>
    </row>
    <row r="1500" spans="8:34" hidden="1">
      <c r="H1500" s="2909"/>
      <c r="I1500" s="2909"/>
      <c r="J1500" s="2909"/>
      <c r="K1500" s="2909"/>
      <c r="L1500" s="2910"/>
      <c r="M1500" s="2910"/>
      <c r="N1500" s="2910"/>
      <c r="O1500" s="2910"/>
      <c r="P1500" s="2911"/>
      <c r="Q1500" s="1260"/>
      <c r="R1500" s="2216"/>
      <c r="S1500" s="1260"/>
      <c r="T1500" s="446"/>
      <c r="U1500" s="70"/>
      <c r="V1500" s="70"/>
      <c r="W1500" s="70"/>
      <c r="X1500" s="145" t="e">
        <f>SUM(#REF!)</f>
        <v>#REF!</v>
      </c>
      <c r="Y1500" s="446"/>
      <c r="Z1500" s="446"/>
      <c r="AA1500" s="446"/>
      <c r="AB1500" s="446"/>
      <c r="AC1500" s="446"/>
      <c r="AD1500" s="150"/>
      <c r="AE1500" s="147"/>
      <c r="AF1500" s="162"/>
      <c r="AG1500" s="145">
        <f>SUM(AD1500:AF1500)</f>
        <v>0</v>
      </c>
      <c r="AH1500" s="160" t="e">
        <f t="shared" ref="AH1500:AH1510" si="151">AG1500/X1500*100</f>
        <v>#REF!</v>
      </c>
    </row>
    <row r="1501" spans="8:34" hidden="1">
      <c r="H1501" s="2909"/>
      <c r="I1501" s="2909"/>
      <c r="J1501" s="2909"/>
      <c r="K1501" s="2909"/>
      <c r="L1501" s="2910"/>
      <c r="M1501" s="2910"/>
      <c r="N1501" s="2910"/>
      <c r="O1501" s="2910"/>
      <c r="P1501" s="2911"/>
      <c r="Q1501" s="1260"/>
      <c r="R1501" s="2216"/>
      <c r="S1501" s="1260"/>
      <c r="T1501" s="446"/>
      <c r="U1501" s="70"/>
      <c r="V1501" s="70"/>
      <c r="W1501" s="70"/>
      <c r="X1501" s="145" t="e">
        <f>SUM(#REF!)</f>
        <v>#REF!</v>
      </c>
      <c r="Y1501" s="446"/>
      <c r="Z1501" s="446"/>
      <c r="AA1501" s="446"/>
      <c r="AB1501" s="446"/>
      <c r="AC1501" s="446"/>
      <c r="AD1501" s="150"/>
      <c r="AE1501" s="147"/>
      <c r="AF1501" s="162"/>
      <c r="AG1501" s="145">
        <f t="shared" ref="AG1501:AG1513" si="152">SUM(AD1501:AF1501)</f>
        <v>0</v>
      </c>
      <c r="AH1501" s="160" t="e">
        <f t="shared" si="151"/>
        <v>#REF!</v>
      </c>
    </row>
    <row r="1502" spans="8:34" hidden="1">
      <c r="H1502" s="2909"/>
      <c r="I1502" s="2909"/>
      <c r="J1502" s="2909"/>
      <c r="K1502" s="2909"/>
      <c r="L1502" s="2910"/>
      <c r="M1502" s="2910"/>
      <c r="N1502" s="2910"/>
      <c r="O1502" s="2910"/>
      <c r="P1502" s="2911"/>
      <c r="Q1502" s="1260"/>
      <c r="R1502" s="2216"/>
      <c r="S1502" s="1260"/>
      <c r="T1502" s="446"/>
      <c r="U1502" s="70"/>
      <c r="V1502" s="70"/>
      <c r="W1502" s="70"/>
      <c r="X1502" s="145" t="e">
        <f>SUM(#REF!)</f>
        <v>#REF!</v>
      </c>
      <c r="Y1502" s="446"/>
      <c r="Z1502" s="446"/>
      <c r="AA1502" s="446"/>
      <c r="AB1502" s="446"/>
      <c r="AC1502" s="446"/>
      <c r="AD1502" s="150"/>
      <c r="AE1502" s="147"/>
      <c r="AF1502" s="162"/>
      <c r="AG1502" s="145">
        <f t="shared" si="152"/>
        <v>0</v>
      </c>
      <c r="AH1502" s="160" t="e">
        <f t="shared" si="151"/>
        <v>#REF!</v>
      </c>
    </row>
    <row r="1503" spans="8:34" hidden="1">
      <c r="H1503" s="2909"/>
      <c r="I1503" s="2909"/>
      <c r="J1503" s="2909"/>
      <c r="K1503" s="2909"/>
      <c r="L1503" s="2910"/>
      <c r="M1503" s="2910"/>
      <c r="N1503" s="2910"/>
      <c r="O1503" s="2910"/>
      <c r="P1503" s="2911"/>
      <c r="Q1503" s="1260"/>
      <c r="R1503" s="2216"/>
      <c r="S1503" s="1260"/>
      <c r="T1503" s="446"/>
      <c r="U1503" s="70"/>
      <c r="V1503" s="70"/>
      <c r="W1503" s="70"/>
      <c r="X1503" s="145" t="e">
        <f>SUM(#REF!)</f>
        <v>#REF!</v>
      </c>
      <c r="Y1503" s="446"/>
      <c r="Z1503" s="446"/>
      <c r="AA1503" s="446"/>
      <c r="AB1503" s="446"/>
      <c r="AC1503" s="446"/>
      <c r="AD1503" s="150"/>
      <c r="AE1503" s="147"/>
      <c r="AF1503" s="162"/>
      <c r="AG1503" s="145">
        <f t="shared" si="152"/>
        <v>0</v>
      </c>
      <c r="AH1503" s="160" t="e">
        <f t="shared" si="151"/>
        <v>#REF!</v>
      </c>
    </row>
    <row r="1504" spans="8:34" hidden="1">
      <c r="H1504" s="2909"/>
      <c r="I1504" s="2909"/>
      <c r="J1504" s="2909"/>
      <c r="K1504" s="2909"/>
      <c r="L1504" s="2910"/>
      <c r="M1504" s="2910"/>
      <c r="N1504" s="2910"/>
      <c r="O1504" s="2910"/>
      <c r="P1504" s="2911"/>
      <c r="Q1504" s="1260"/>
      <c r="R1504" s="2216"/>
      <c r="S1504" s="1260"/>
      <c r="T1504" s="446"/>
      <c r="U1504" s="70"/>
      <c r="V1504" s="70"/>
      <c r="W1504" s="70"/>
      <c r="X1504" s="145" t="e">
        <f>SUM(#REF!)</f>
        <v>#REF!</v>
      </c>
      <c r="Y1504" s="446"/>
      <c r="Z1504" s="446"/>
      <c r="AA1504" s="446"/>
      <c r="AB1504" s="446"/>
      <c r="AC1504" s="446"/>
      <c r="AD1504" s="150"/>
      <c r="AE1504" s="147"/>
      <c r="AF1504" s="162"/>
      <c r="AG1504" s="145">
        <f t="shared" si="152"/>
        <v>0</v>
      </c>
      <c r="AH1504" s="160" t="e">
        <f t="shared" si="151"/>
        <v>#REF!</v>
      </c>
    </row>
    <row r="1505" spans="8:34" hidden="1">
      <c r="H1505" s="2909"/>
      <c r="I1505" s="2909"/>
      <c r="J1505" s="2909"/>
      <c r="K1505" s="2909"/>
      <c r="L1505" s="2910"/>
      <c r="M1505" s="2910"/>
      <c r="N1505" s="2910"/>
      <c r="O1505" s="2910"/>
      <c r="P1505" s="2911"/>
      <c r="Q1505" s="1260"/>
      <c r="R1505" s="2216"/>
      <c r="S1505" s="1260"/>
      <c r="T1505" s="446"/>
      <c r="U1505" s="70"/>
      <c r="V1505" s="70"/>
      <c r="W1505" s="70"/>
      <c r="X1505" s="145" t="e">
        <f>SUM(#REF!)</f>
        <v>#REF!</v>
      </c>
      <c r="Y1505" s="446"/>
      <c r="Z1505" s="446"/>
      <c r="AA1505" s="446"/>
      <c r="AB1505" s="446"/>
      <c r="AC1505" s="446"/>
      <c r="AD1505" s="150"/>
      <c r="AE1505" s="147"/>
      <c r="AF1505" s="162"/>
      <c r="AG1505" s="145">
        <f t="shared" si="152"/>
        <v>0</v>
      </c>
      <c r="AH1505" s="160" t="e">
        <f t="shared" si="151"/>
        <v>#REF!</v>
      </c>
    </row>
    <row r="1506" spans="8:34" hidden="1">
      <c r="H1506" s="2909"/>
      <c r="I1506" s="2909"/>
      <c r="J1506" s="2909"/>
      <c r="K1506" s="2909"/>
      <c r="L1506" s="2910"/>
      <c r="M1506" s="2910"/>
      <c r="N1506" s="2910"/>
      <c r="O1506" s="2910"/>
      <c r="P1506" s="2911"/>
      <c r="Q1506" s="1260"/>
      <c r="R1506" s="2216"/>
      <c r="S1506" s="1260"/>
      <c r="T1506" s="446"/>
      <c r="U1506" s="70"/>
      <c r="V1506" s="70"/>
      <c r="W1506" s="70"/>
      <c r="X1506" s="145" t="e">
        <f>SUM(#REF!)</f>
        <v>#REF!</v>
      </c>
      <c r="Y1506" s="446"/>
      <c r="Z1506" s="446"/>
      <c r="AA1506" s="446"/>
      <c r="AB1506" s="446"/>
      <c r="AC1506" s="446"/>
      <c r="AD1506" s="150"/>
      <c r="AE1506" s="147"/>
      <c r="AF1506" s="162"/>
      <c r="AG1506" s="145">
        <f t="shared" si="152"/>
        <v>0</v>
      </c>
      <c r="AH1506" s="160" t="e">
        <f t="shared" si="151"/>
        <v>#REF!</v>
      </c>
    </row>
    <row r="1507" spans="8:34" hidden="1">
      <c r="H1507" s="2909"/>
      <c r="I1507" s="2909"/>
      <c r="J1507" s="2909"/>
      <c r="K1507" s="2909"/>
      <c r="L1507" s="2910"/>
      <c r="M1507" s="2910"/>
      <c r="N1507" s="2910"/>
      <c r="O1507" s="2910"/>
      <c r="P1507" s="2911"/>
      <c r="Q1507" s="1260"/>
      <c r="R1507" s="2216"/>
      <c r="S1507" s="1260"/>
      <c r="T1507" s="446"/>
      <c r="U1507" s="70"/>
      <c r="V1507" s="70"/>
      <c r="W1507" s="70"/>
      <c r="X1507" s="145" t="e">
        <f>SUM(#REF!)</f>
        <v>#REF!</v>
      </c>
      <c r="Y1507" s="446"/>
      <c r="Z1507" s="446"/>
      <c r="AA1507" s="446"/>
      <c r="AB1507" s="446"/>
      <c r="AC1507" s="446"/>
      <c r="AD1507" s="150"/>
      <c r="AE1507" s="147"/>
      <c r="AF1507" s="162"/>
      <c r="AG1507" s="145">
        <f t="shared" si="152"/>
        <v>0</v>
      </c>
      <c r="AH1507" s="160" t="e">
        <f t="shared" si="151"/>
        <v>#REF!</v>
      </c>
    </row>
    <row r="1508" spans="8:34" hidden="1">
      <c r="H1508" s="2909"/>
      <c r="I1508" s="2909"/>
      <c r="J1508" s="2909"/>
      <c r="K1508" s="2909"/>
      <c r="L1508" s="2910"/>
      <c r="M1508" s="2910"/>
      <c r="N1508" s="2910"/>
      <c r="O1508" s="2910"/>
      <c r="P1508" s="2911"/>
      <c r="Q1508" s="1260"/>
      <c r="R1508" s="2216"/>
      <c r="S1508" s="1260"/>
      <c r="T1508" s="446"/>
      <c r="U1508" s="70"/>
      <c r="V1508" s="70"/>
      <c r="W1508" s="70"/>
      <c r="X1508" s="145" t="e">
        <f>SUM(#REF!)</f>
        <v>#REF!</v>
      </c>
      <c r="Y1508" s="446"/>
      <c r="Z1508" s="446"/>
      <c r="AA1508" s="446"/>
      <c r="AB1508" s="446"/>
      <c r="AC1508" s="446"/>
      <c r="AD1508" s="150"/>
      <c r="AE1508" s="147"/>
      <c r="AF1508" s="162"/>
      <c r="AG1508" s="145">
        <f t="shared" si="152"/>
        <v>0</v>
      </c>
      <c r="AH1508" s="160" t="e">
        <f t="shared" si="151"/>
        <v>#REF!</v>
      </c>
    </row>
    <row r="1509" spans="8:34" hidden="1">
      <c r="H1509" s="2909"/>
      <c r="I1509" s="2909"/>
      <c r="J1509" s="2909"/>
      <c r="K1509" s="2909"/>
      <c r="L1509" s="2910"/>
      <c r="M1509" s="2910"/>
      <c r="N1509" s="2910"/>
      <c r="O1509" s="2910"/>
      <c r="P1509" s="2911"/>
      <c r="Q1509" s="1260"/>
      <c r="R1509" s="2216"/>
      <c r="S1509" s="1260"/>
      <c r="T1509" s="446"/>
      <c r="U1509" s="70"/>
      <c r="V1509" s="70"/>
      <c r="W1509" s="70"/>
      <c r="X1509" s="145" t="e">
        <f>SUM(#REF!)</f>
        <v>#REF!</v>
      </c>
      <c r="Y1509" s="446"/>
      <c r="Z1509" s="446"/>
      <c r="AA1509" s="446"/>
      <c r="AB1509" s="446"/>
      <c r="AC1509" s="446"/>
      <c r="AD1509" s="150"/>
      <c r="AE1509" s="147"/>
      <c r="AF1509" s="162"/>
      <c r="AG1509" s="145">
        <f t="shared" si="152"/>
        <v>0</v>
      </c>
      <c r="AH1509" s="160" t="e">
        <f t="shared" si="151"/>
        <v>#REF!</v>
      </c>
    </row>
    <row r="1510" spans="8:34" hidden="1">
      <c r="H1510" s="2909"/>
      <c r="I1510" s="2909"/>
      <c r="J1510" s="2909"/>
      <c r="K1510" s="2909"/>
      <c r="L1510" s="2910"/>
      <c r="M1510" s="2910"/>
      <c r="N1510" s="2910"/>
      <c r="O1510" s="2910"/>
      <c r="P1510" s="2911"/>
      <c r="Q1510" s="1260"/>
      <c r="R1510" s="2216"/>
      <c r="S1510" s="1260"/>
      <c r="T1510" s="446"/>
      <c r="U1510" s="70"/>
      <c r="V1510" s="70"/>
      <c r="W1510" s="70"/>
      <c r="X1510" s="145" t="e">
        <f>SUM(#REF!)</f>
        <v>#REF!</v>
      </c>
      <c r="Y1510" s="446"/>
      <c r="Z1510" s="446"/>
      <c r="AA1510" s="446"/>
      <c r="AB1510" s="446"/>
      <c r="AC1510" s="446"/>
      <c r="AD1510" s="150"/>
      <c r="AE1510" s="147"/>
      <c r="AF1510" s="162"/>
      <c r="AG1510" s="145">
        <f t="shared" si="152"/>
        <v>0</v>
      </c>
      <c r="AH1510" s="160" t="e">
        <f t="shared" si="151"/>
        <v>#REF!</v>
      </c>
    </row>
    <row r="1511" spans="8:34" hidden="1">
      <c r="H1511" s="2909"/>
      <c r="I1511" s="2909"/>
      <c r="J1511" s="2909"/>
      <c r="K1511" s="2909"/>
      <c r="L1511" s="2910"/>
      <c r="M1511" s="2910"/>
      <c r="N1511" s="2910"/>
      <c r="O1511" s="2910"/>
      <c r="P1511" s="2911"/>
      <c r="Q1511" s="1260"/>
      <c r="R1511" s="2216"/>
      <c r="S1511" s="1260"/>
      <c r="T1511" s="446"/>
      <c r="U1511" s="70"/>
      <c r="V1511" s="70"/>
      <c r="W1511" s="70"/>
      <c r="X1511" s="145"/>
      <c r="Y1511" s="446"/>
      <c r="Z1511" s="446"/>
      <c r="AA1511" s="446"/>
      <c r="AB1511" s="446"/>
      <c r="AC1511" s="446"/>
      <c r="AD1511" s="150"/>
      <c r="AE1511" s="147"/>
      <c r="AF1511" s="162"/>
      <c r="AG1511" s="145"/>
      <c r="AH1511" s="160"/>
    </row>
    <row r="1512" spans="8:34" hidden="1">
      <c r="H1512" s="2909"/>
      <c r="I1512" s="2909"/>
      <c r="J1512" s="2909"/>
      <c r="K1512" s="2909"/>
      <c r="L1512" s="2910"/>
      <c r="M1512" s="2910"/>
      <c r="N1512" s="2910"/>
      <c r="O1512" s="2910"/>
      <c r="P1512" s="2911"/>
      <c r="Q1512" s="1260"/>
      <c r="R1512" s="2216"/>
      <c r="S1512" s="1260"/>
      <c r="T1512" s="446"/>
      <c r="U1512" s="70"/>
      <c r="V1512" s="70"/>
      <c r="W1512" s="70"/>
      <c r="X1512" s="145"/>
      <c r="Y1512" s="446"/>
      <c r="Z1512" s="446"/>
      <c r="AA1512" s="446"/>
      <c r="AB1512" s="446"/>
      <c r="AC1512" s="446"/>
      <c r="AD1512" s="150"/>
      <c r="AE1512" s="147"/>
      <c r="AF1512" s="162"/>
      <c r="AG1512" s="145"/>
      <c r="AH1512" s="160"/>
    </row>
    <row r="1513" spans="8:34" hidden="1">
      <c r="H1513" s="2909"/>
      <c r="I1513" s="2909"/>
      <c r="J1513" s="2909"/>
      <c r="K1513" s="2909"/>
      <c r="L1513" s="2910"/>
      <c r="M1513" s="2910"/>
      <c r="N1513" s="2910"/>
      <c r="O1513" s="2910"/>
      <c r="P1513" s="2911"/>
      <c r="Q1513" s="1260"/>
      <c r="R1513" s="2216"/>
      <c r="S1513" s="1260"/>
      <c r="T1513" s="446"/>
      <c r="U1513" s="70"/>
      <c r="V1513" s="70"/>
      <c r="W1513" s="70"/>
      <c r="X1513" s="145" t="e">
        <f>SUM(#REF!)</f>
        <v>#REF!</v>
      </c>
      <c r="Y1513" s="446"/>
      <c r="Z1513" s="446"/>
      <c r="AA1513" s="446"/>
      <c r="AB1513" s="446"/>
      <c r="AC1513" s="446"/>
      <c r="AD1513" s="150"/>
      <c r="AE1513" s="147"/>
      <c r="AF1513" s="162"/>
      <c r="AG1513" s="145">
        <f t="shared" si="152"/>
        <v>0</v>
      </c>
      <c r="AH1513" s="160" t="e">
        <f t="shared" ref="AH1513:AH1535" si="153">AG1513/X1513*100</f>
        <v>#REF!</v>
      </c>
    </row>
    <row r="1514" spans="8:34" hidden="1">
      <c r="H1514" s="2909"/>
      <c r="I1514" s="2909"/>
      <c r="J1514" s="2909"/>
      <c r="K1514" s="2909"/>
      <c r="L1514" s="2910"/>
      <c r="M1514" s="2910"/>
      <c r="N1514" s="2910"/>
      <c r="O1514" s="2910"/>
      <c r="P1514" s="2911"/>
      <c r="Q1514" s="1260"/>
      <c r="R1514" s="2216"/>
      <c r="S1514" s="1260"/>
      <c r="T1514" s="446"/>
      <c r="U1514" s="70"/>
      <c r="V1514" s="70"/>
      <c r="W1514" s="70"/>
      <c r="X1514" s="145" t="e">
        <f>SUM(X1515,X1528,X1538:X1565,X1570:X1572)</f>
        <v>#REF!</v>
      </c>
      <c r="Y1514" s="446"/>
      <c r="Z1514" s="446"/>
      <c r="AA1514" s="446"/>
      <c r="AB1514" s="446"/>
      <c r="AC1514" s="446"/>
      <c r="AD1514" s="150">
        <f>SUM(AD1515,AD1528,AD1538:AD1565,AD1571:AD1572)</f>
        <v>7934000</v>
      </c>
      <c r="AE1514" s="147">
        <f>SUM(AE1515,AE1528,AE1538:AE1565,AE1571:AE1572)</f>
        <v>2680000</v>
      </c>
      <c r="AF1514" s="162">
        <f>SUM(AF1515,AF1528,AF1538:AF1565,AF1571:AF1572)</f>
        <v>0</v>
      </c>
      <c r="AG1514" s="145">
        <f>SUM(AG1515,AG1528,AG1538:AG1565,AG1570:AG1572)</f>
        <v>10614000</v>
      </c>
      <c r="AH1514" s="160" t="e">
        <f t="shared" si="153"/>
        <v>#REF!</v>
      </c>
    </row>
    <row r="1515" spans="8:34" hidden="1">
      <c r="H1515" s="2909"/>
      <c r="I1515" s="2909"/>
      <c r="J1515" s="2909"/>
      <c r="K1515" s="2909"/>
      <c r="L1515" s="2910"/>
      <c r="M1515" s="2910"/>
      <c r="N1515" s="2910"/>
      <c r="O1515" s="2910"/>
      <c r="P1515" s="2911"/>
      <c r="Q1515" s="1260"/>
      <c r="R1515" s="2216"/>
      <c r="S1515" s="1260"/>
      <c r="T1515" s="446"/>
      <c r="U1515" s="70"/>
      <c r="V1515" s="70"/>
      <c r="W1515" s="70"/>
      <c r="X1515" s="145" t="e">
        <f>SUM(X1516:X1527)</f>
        <v>#REF!</v>
      </c>
      <c r="Y1515" s="446"/>
      <c r="Z1515" s="446"/>
      <c r="AA1515" s="446"/>
      <c r="AB1515" s="446"/>
      <c r="AC1515" s="446"/>
      <c r="AD1515" s="150">
        <f>SUM(AD1516:AD1527)</f>
        <v>5690000</v>
      </c>
      <c r="AE1515" s="147">
        <f>SUM(AE1516:AE1524)</f>
        <v>0</v>
      </c>
      <c r="AF1515" s="162">
        <f>SUM(AF1516:AF1524)</f>
        <v>0</v>
      </c>
      <c r="AG1515" s="145">
        <f>SUM(AG1516:AG1527)</f>
        <v>5690000</v>
      </c>
      <c r="AH1515" s="160" t="e">
        <f t="shared" si="153"/>
        <v>#REF!</v>
      </c>
    </row>
    <row r="1516" spans="8:34" hidden="1">
      <c r="H1516" s="2924"/>
      <c r="I1516" s="2924"/>
      <c r="J1516" s="2924"/>
      <c r="K1516" s="2924"/>
      <c r="L1516" s="2925"/>
      <c r="M1516" s="2925"/>
      <c r="N1516" s="2925"/>
      <c r="O1516" s="2925"/>
      <c r="P1516" s="2926"/>
      <c r="Q1516" s="1748"/>
      <c r="R1516" s="2221"/>
      <c r="S1516" s="1748"/>
      <c r="T1516" s="679"/>
      <c r="U1516" s="53"/>
      <c r="V1516" s="53"/>
      <c r="W1516" s="53"/>
      <c r="X1516" s="153" t="e">
        <f>SUM(#REF!)</f>
        <v>#REF!</v>
      </c>
      <c r="Y1516" s="679"/>
      <c r="Z1516" s="679"/>
      <c r="AA1516" s="679"/>
      <c r="AB1516" s="679"/>
      <c r="AC1516" s="679"/>
      <c r="AD1516" s="193">
        <v>2250000</v>
      </c>
      <c r="AE1516" s="151"/>
      <c r="AF1516" s="163"/>
      <c r="AG1516" s="153">
        <f>SUM(AD1516:AF1516)</f>
        <v>2250000</v>
      </c>
      <c r="AH1516" s="160" t="e">
        <f t="shared" si="153"/>
        <v>#REF!</v>
      </c>
    </row>
    <row r="1517" spans="8:34" hidden="1">
      <c r="H1517" s="2924"/>
      <c r="I1517" s="2924"/>
      <c r="J1517" s="2924"/>
      <c r="K1517" s="2924"/>
      <c r="L1517" s="2925"/>
      <c r="M1517" s="2925"/>
      <c r="N1517" s="2925"/>
      <c r="O1517" s="2925"/>
      <c r="P1517" s="2926"/>
      <c r="Q1517" s="1748"/>
      <c r="R1517" s="2221"/>
      <c r="S1517" s="1748"/>
      <c r="T1517" s="679"/>
      <c r="U1517" s="53"/>
      <c r="V1517" s="53"/>
      <c r="W1517" s="53"/>
      <c r="X1517" s="153" t="e">
        <f>SUM(#REF!)</f>
        <v>#REF!</v>
      </c>
      <c r="Y1517" s="679"/>
      <c r="Z1517" s="679"/>
      <c r="AA1517" s="679"/>
      <c r="AB1517" s="679"/>
      <c r="AC1517" s="679"/>
      <c r="AD1517" s="181">
        <v>320000</v>
      </c>
      <c r="AE1517" s="151"/>
      <c r="AF1517" s="163"/>
      <c r="AG1517" s="153">
        <f t="shared" ref="AG1517:AG1527" si="154">SUM(AD1517:AF1517)</f>
        <v>320000</v>
      </c>
      <c r="AH1517" s="160" t="e">
        <f t="shared" si="153"/>
        <v>#REF!</v>
      </c>
    </row>
    <row r="1518" spans="8:34" hidden="1">
      <c r="H1518" s="2924"/>
      <c r="I1518" s="2924"/>
      <c r="J1518" s="2924"/>
      <c r="K1518" s="2924"/>
      <c r="L1518" s="2925"/>
      <c r="M1518" s="2925"/>
      <c r="N1518" s="2925"/>
      <c r="O1518" s="2925"/>
      <c r="P1518" s="2926"/>
      <c r="Q1518" s="1748"/>
      <c r="R1518" s="2221"/>
      <c r="S1518" s="1748"/>
      <c r="T1518" s="679"/>
      <c r="U1518" s="53"/>
      <c r="V1518" s="53"/>
      <c r="W1518" s="53"/>
      <c r="X1518" s="153" t="e">
        <f>SUM(#REF!)</f>
        <v>#REF!</v>
      </c>
      <c r="Y1518" s="679"/>
      <c r="Z1518" s="679"/>
      <c r="AA1518" s="679"/>
      <c r="AB1518" s="679"/>
      <c r="AC1518" s="679"/>
      <c r="AD1518" s="181">
        <v>900000</v>
      </c>
      <c r="AE1518" s="151"/>
      <c r="AF1518" s="163"/>
      <c r="AG1518" s="153">
        <f t="shared" si="154"/>
        <v>900000</v>
      </c>
      <c r="AH1518" s="160" t="e">
        <f t="shared" si="153"/>
        <v>#REF!</v>
      </c>
    </row>
    <row r="1519" spans="8:34" hidden="1">
      <c r="H1519" s="2924"/>
      <c r="I1519" s="2924"/>
      <c r="J1519" s="2924"/>
      <c r="K1519" s="2924"/>
      <c r="L1519" s="2925"/>
      <c r="M1519" s="2925"/>
      <c r="N1519" s="2925"/>
      <c r="O1519" s="2925"/>
      <c r="P1519" s="2926"/>
      <c r="Q1519" s="1748"/>
      <c r="R1519" s="2221"/>
      <c r="S1519" s="1748"/>
      <c r="T1519" s="679"/>
      <c r="U1519" s="53"/>
      <c r="V1519" s="53"/>
      <c r="W1519" s="53"/>
      <c r="X1519" s="153" t="e">
        <f>SUM(#REF!)</f>
        <v>#REF!</v>
      </c>
      <c r="Y1519" s="679"/>
      <c r="Z1519" s="679"/>
      <c r="AA1519" s="679"/>
      <c r="AB1519" s="679"/>
      <c r="AC1519" s="679"/>
      <c r="AD1519" s="181">
        <v>40000</v>
      </c>
      <c r="AE1519" s="151"/>
      <c r="AF1519" s="194"/>
      <c r="AG1519" s="153">
        <f t="shared" si="154"/>
        <v>40000</v>
      </c>
      <c r="AH1519" s="160" t="e">
        <f t="shared" si="153"/>
        <v>#REF!</v>
      </c>
    </row>
    <row r="1520" spans="8:34" hidden="1">
      <c r="H1520" s="2924"/>
      <c r="I1520" s="2924"/>
      <c r="J1520" s="2924"/>
      <c r="K1520" s="2924"/>
      <c r="L1520" s="2925"/>
      <c r="M1520" s="2925"/>
      <c r="N1520" s="2925"/>
      <c r="O1520" s="2925"/>
      <c r="P1520" s="2926"/>
      <c r="Q1520" s="1748"/>
      <c r="R1520" s="2221"/>
      <c r="S1520" s="1748"/>
      <c r="T1520" s="679"/>
      <c r="U1520" s="53"/>
      <c r="V1520" s="53"/>
      <c r="W1520" s="53"/>
      <c r="X1520" s="153" t="e">
        <f>SUM(#REF!)</f>
        <v>#REF!</v>
      </c>
      <c r="Y1520" s="679"/>
      <c r="Z1520" s="679"/>
      <c r="AA1520" s="679"/>
      <c r="AB1520" s="679"/>
      <c r="AC1520" s="679"/>
      <c r="AD1520" s="181">
        <v>850000</v>
      </c>
      <c r="AE1520" s="151"/>
      <c r="AF1520" s="163"/>
      <c r="AG1520" s="153">
        <f t="shared" si="154"/>
        <v>850000</v>
      </c>
      <c r="AH1520" s="160" t="e">
        <f t="shared" si="153"/>
        <v>#REF!</v>
      </c>
    </row>
    <row r="1521" spans="8:34" hidden="1">
      <c r="H1521" s="2924"/>
      <c r="I1521" s="2924"/>
      <c r="J1521" s="2924"/>
      <c r="K1521" s="2924"/>
      <c r="L1521" s="2925"/>
      <c r="M1521" s="2925"/>
      <c r="N1521" s="2925"/>
      <c r="O1521" s="2925"/>
      <c r="P1521" s="2926"/>
      <c r="Q1521" s="1748"/>
      <c r="R1521" s="2221"/>
      <c r="S1521" s="1748"/>
      <c r="T1521" s="679"/>
      <c r="U1521" s="53"/>
      <c r="V1521" s="53"/>
      <c r="W1521" s="53"/>
      <c r="X1521" s="153" t="e">
        <f>SUM(#REF!)</f>
        <v>#REF!</v>
      </c>
      <c r="Y1521" s="679"/>
      <c r="Z1521" s="679"/>
      <c r="AA1521" s="679"/>
      <c r="AB1521" s="679"/>
      <c r="AC1521" s="679"/>
      <c r="AD1521" s="187">
        <v>100000</v>
      </c>
      <c r="AE1521" s="151"/>
      <c r="AF1521" s="163"/>
      <c r="AG1521" s="153">
        <f t="shared" si="154"/>
        <v>100000</v>
      </c>
      <c r="AH1521" s="160" t="e">
        <f t="shared" si="153"/>
        <v>#REF!</v>
      </c>
    </row>
    <row r="1522" spans="8:34" hidden="1">
      <c r="H1522" s="2924"/>
      <c r="I1522" s="2924"/>
      <c r="J1522" s="2924"/>
      <c r="K1522" s="2924"/>
      <c r="L1522" s="2925"/>
      <c r="M1522" s="2925"/>
      <c r="N1522" s="2925"/>
      <c r="O1522" s="2925"/>
      <c r="P1522" s="2926"/>
      <c r="Q1522" s="1748"/>
      <c r="R1522" s="2221"/>
      <c r="S1522" s="1748"/>
      <c r="T1522" s="679"/>
      <c r="U1522" s="53"/>
      <c r="V1522" s="53"/>
      <c r="W1522" s="53"/>
      <c r="X1522" s="153" t="e">
        <f>SUM(#REF!)</f>
        <v>#REF!</v>
      </c>
      <c r="Y1522" s="679"/>
      <c r="Z1522" s="679"/>
      <c r="AA1522" s="679"/>
      <c r="AB1522" s="679"/>
      <c r="AC1522" s="679"/>
      <c r="AD1522" s="181">
        <v>850000</v>
      </c>
      <c r="AE1522" s="151"/>
      <c r="AF1522" s="163"/>
      <c r="AG1522" s="153">
        <f t="shared" si="154"/>
        <v>850000</v>
      </c>
      <c r="AH1522" s="160" t="e">
        <f t="shared" si="153"/>
        <v>#REF!</v>
      </c>
    </row>
    <row r="1523" spans="8:34" hidden="1">
      <c r="H1523" s="2924"/>
      <c r="I1523" s="2924"/>
      <c r="J1523" s="2924"/>
      <c r="K1523" s="2924"/>
      <c r="L1523" s="2925"/>
      <c r="M1523" s="2925"/>
      <c r="N1523" s="2925"/>
      <c r="O1523" s="2925"/>
      <c r="P1523" s="2926"/>
      <c r="Q1523" s="1748"/>
      <c r="R1523" s="2221"/>
      <c r="S1523" s="1748"/>
      <c r="T1523" s="679"/>
      <c r="U1523" s="53"/>
      <c r="V1523" s="53"/>
      <c r="W1523" s="53"/>
      <c r="X1523" s="153" t="e">
        <f>SUM(#REF!)</f>
        <v>#REF!</v>
      </c>
      <c r="Y1523" s="679"/>
      <c r="Z1523" s="679"/>
      <c r="AA1523" s="679"/>
      <c r="AB1523" s="679"/>
      <c r="AC1523" s="679"/>
      <c r="AD1523" s="181">
        <v>20000</v>
      </c>
      <c r="AE1523" s="151"/>
      <c r="AF1523" s="163"/>
      <c r="AG1523" s="153">
        <f t="shared" si="154"/>
        <v>20000</v>
      </c>
      <c r="AH1523" s="160" t="e">
        <f t="shared" si="153"/>
        <v>#REF!</v>
      </c>
    </row>
    <row r="1524" spans="8:34" hidden="1">
      <c r="H1524" s="2924"/>
      <c r="I1524" s="2924"/>
      <c r="J1524" s="2924"/>
      <c r="K1524" s="2924"/>
      <c r="L1524" s="2925"/>
      <c r="M1524" s="2925"/>
      <c r="N1524" s="2925"/>
      <c r="O1524" s="2925"/>
      <c r="P1524" s="2926"/>
      <c r="Q1524" s="1748"/>
      <c r="R1524" s="2221"/>
      <c r="S1524" s="1748"/>
      <c r="T1524" s="679"/>
      <c r="U1524" s="53"/>
      <c r="V1524" s="53"/>
      <c r="W1524" s="53"/>
      <c r="X1524" s="153" t="e">
        <f>SUM(#REF!)</f>
        <v>#REF!</v>
      </c>
      <c r="Y1524" s="679"/>
      <c r="Z1524" s="679"/>
      <c r="AA1524" s="679"/>
      <c r="AB1524" s="679"/>
      <c r="AC1524" s="679"/>
      <c r="AD1524" s="187">
        <v>90000</v>
      </c>
      <c r="AE1524" s="151"/>
      <c r="AF1524" s="163"/>
      <c r="AG1524" s="153">
        <f t="shared" si="154"/>
        <v>90000</v>
      </c>
      <c r="AH1524" s="160" t="e">
        <f t="shared" si="153"/>
        <v>#REF!</v>
      </c>
    </row>
    <row r="1525" spans="8:34" hidden="1">
      <c r="H1525" s="2924"/>
      <c r="I1525" s="2924"/>
      <c r="J1525" s="2924"/>
      <c r="K1525" s="2924"/>
      <c r="L1525" s="2925"/>
      <c r="M1525" s="2925"/>
      <c r="N1525" s="2925"/>
      <c r="O1525" s="2925"/>
      <c r="P1525" s="2926"/>
      <c r="Q1525" s="1748"/>
      <c r="R1525" s="2221"/>
      <c r="S1525" s="1748"/>
      <c r="T1525" s="679"/>
      <c r="U1525" s="53"/>
      <c r="V1525" s="53"/>
      <c r="W1525" s="53"/>
      <c r="X1525" s="153" t="e">
        <f>SUM(#REF!)</f>
        <v>#REF!</v>
      </c>
      <c r="Y1525" s="679"/>
      <c r="Z1525" s="679"/>
      <c r="AA1525" s="679"/>
      <c r="AB1525" s="679"/>
      <c r="AC1525" s="679"/>
      <c r="AD1525" s="181">
        <v>10000</v>
      </c>
      <c r="AE1525" s="151"/>
      <c r="AF1525" s="163"/>
      <c r="AG1525" s="153">
        <f t="shared" si="154"/>
        <v>10000</v>
      </c>
      <c r="AH1525" s="160" t="e">
        <f t="shared" si="153"/>
        <v>#REF!</v>
      </c>
    </row>
    <row r="1526" spans="8:34" hidden="1">
      <c r="H1526" s="2924"/>
      <c r="I1526" s="2924"/>
      <c r="J1526" s="2924"/>
      <c r="K1526" s="2924"/>
      <c r="L1526" s="2925"/>
      <c r="M1526" s="2925"/>
      <c r="N1526" s="2925"/>
      <c r="O1526" s="2925"/>
      <c r="P1526" s="2926"/>
      <c r="Q1526" s="1748"/>
      <c r="R1526" s="2221"/>
      <c r="S1526" s="1748"/>
      <c r="T1526" s="679"/>
      <c r="U1526" s="53"/>
      <c r="V1526" s="53"/>
      <c r="W1526" s="53"/>
      <c r="X1526" s="153" t="e">
        <f>SUM(#REF!)</f>
        <v>#REF!</v>
      </c>
      <c r="Y1526" s="679"/>
      <c r="Z1526" s="679"/>
      <c r="AA1526" s="679"/>
      <c r="AB1526" s="679"/>
      <c r="AC1526" s="679"/>
      <c r="AD1526" s="181">
        <v>260000</v>
      </c>
      <c r="AE1526" s="151"/>
      <c r="AF1526" s="163"/>
      <c r="AG1526" s="153">
        <f t="shared" si="154"/>
        <v>260000</v>
      </c>
      <c r="AH1526" s="160" t="e">
        <f t="shared" si="153"/>
        <v>#REF!</v>
      </c>
    </row>
    <row r="1527" spans="8:34" hidden="1">
      <c r="H1527" s="2924"/>
      <c r="I1527" s="2924"/>
      <c r="J1527" s="2924"/>
      <c r="K1527" s="2924"/>
      <c r="L1527" s="2925"/>
      <c r="M1527" s="2925"/>
      <c r="N1527" s="2925"/>
      <c r="O1527" s="2925"/>
      <c r="P1527" s="2926"/>
      <c r="Q1527" s="1748"/>
      <c r="R1527" s="2221"/>
      <c r="S1527" s="1748"/>
      <c r="T1527" s="679"/>
      <c r="U1527" s="53"/>
      <c r="V1527" s="53"/>
      <c r="W1527" s="53"/>
      <c r="X1527" s="153" t="e">
        <f>SUM(#REF!)</f>
        <v>#REF!</v>
      </c>
      <c r="Y1527" s="679"/>
      <c r="Z1527" s="679"/>
      <c r="AA1527" s="679"/>
      <c r="AB1527" s="679"/>
      <c r="AC1527" s="679"/>
      <c r="AD1527" s="181"/>
      <c r="AE1527" s="151"/>
      <c r="AF1527" s="163"/>
      <c r="AG1527" s="153">
        <f t="shared" si="154"/>
        <v>0</v>
      </c>
      <c r="AH1527" s="160" t="e">
        <f t="shared" si="153"/>
        <v>#REF!</v>
      </c>
    </row>
    <row r="1528" spans="8:34" hidden="1">
      <c r="H1528" s="2909"/>
      <c r="I1528" s="2909"/>
      <c r="J1528" s="2909"/>
      <c r="K1528" s="2909"/>
      <c r="L1528" s="2910"/>
      <c r="M1528" s="2910"/>
      <c r="N1528" s="2910"/>
      <c r="O1528" s="2910"/>
      <c r="P1528" s="2911"/>
      <c r="Q1528" s="1260"/>
      <c r="R1528" s="2216"/>
      <c r="S1528" s="1260"/>
      <c r="T1528" s="446"/>
      <c r="U1528" s="70"/>
      <c r="V1528" s="70"/>
      <c r="W1528" s="70"/>
      <c r="X1528" s="145" t="e">
        <f>SUM(X1529:X1535)</f>
        <v>#REF!</v>
      </c>
      <c r="Y1528" s="446"/>
      <c r="Z1528" s="446"/>
      <c r="AA1528" s="446"/>
      <c r="AB1528" s="446"/>
      <c r="AC1528" s="446"/>
      <c r="AD1528" s="150">
        <f>SUM(AD1529:AD1537)</f>
        <v>450000</v>
      </c>
      <c r="AE1528" s="147">
        <f>SUM(AE1529:AE1537)</f>
        <v>2580000</v>
      </c>
      <c r="AF1528" s="162">
        <f>SUM(AF1529:AF1537)</f>
        <v>0</v>
      </c>
      <c r="AG1528" s="145">
        <f>SUM(AG1529:AG1535)</f>
        <v>3030000</v>
      </c>
      <c r="AH1528" s="160" t="e">
        <f t="shared" si="153"/>
        <v>#REF!</v>
      </c>
    </row>
    <row r="1529" spans="8:34" hidden="1">
      <c r="H1529" s="2924"/>
      <c r="I1529" s="2924"/>
      <c r="J1529" s="2924"/>
      <c r="K1529" s="2924"/>
      <c r="L1529" s="2925"/>
      <c r="M1529" s="2925"/>
      <c r="N1529" s="2925"/>
      <c r="O1529" s="2925"/>
      <c r="P1529" s="2926"/>
      <c r="Q1529" s="1748"/>
      <c r="R1529" s="2221"/>
      <c r="S1529" s="1748"/>
      <c r="T1529" s="679"/>
      <c r="U1529" s="53"/>
      <c r="V1529" s="53"/>
      <c r="W1529" s="53"/>
      <c r="X1529" s="153" t="e">
        <f>#REF!+#REF!+#REF!</f>
        <v>#REF!</v>
      </c>
      <c r="Y1529" s="679"/>
      <c r="Z1529" s="679"/>
      <c r="AA1529" s="679"/>
      <c r="AB1529" s="679"/>
      <c r="AC1529" s="679"/>
      <c r="AD1529" s="181">
        <v>400000</v>
      </c>
      <c r="AE1529" s="151"/>
      <c r="AF1529" s="163"/>
      <c r="AG1529" s="153">
        <f>AD1529+AE1529+AF1529</f>
        <v>400000</v>
      </c>
      <c r="AH1529" s="160" t="e">
        <f t="shared" si="153"/>
        <v>#REF!</v>
      </c>
    </row>
    <row r="1530" spans="8:34" hidden="1">
      <c r="H1530" s="2924"/>
      <c r="I1530" s="2924"/>
      <c r="J1530" s="2924"/>
      <c r="K1530" s="2924"/>
      <c r="L1530" s="2925"/>
      <c r="M1530" s="2925"/>
      <c r="N1530" s="2925"/>
      <c r="O1530" s="2925"/>
      <c r="P1530" s="2926"/>
      <c r="Q1530" s="1748"/>
      <c r="R1530" s="2221"/>
      <c r="S1530" s="1748"/>
      <c r="T1530" s="679"/>
      <c r="U1530" s="53"/>
      <c r="V1530" s="53"/>
      <c r="W1530" s="53"/>
      <c r="X1530" s="153" t="e">
        <f>#REF!+#REF!+#REF!</f>
        <v>#REF!</v>
      </c>
      <c r="Y1530" s="679"/>
      <c r="Z1530" s="679"/>
      <c r="AA1530" s="679"/>
      <c r="AB1530" s="679"/>
      <c r="AC1530" s="679"/>
      <c r="AD1530" s="181"/>
      <c r="AE1530" s="151">
        <v>600000</v>
      </c>
      <c r="AF1530" s="163"/>
      <c r="AG1530" s="153">
        <f t="shared" ref="AG1530:AG1538" si="155">AD1530+AE1530+AF1530</f>
        <v>600000</v>
      </c>
      <c r="AH1530" s="160" t="e">
        <f t="shared" si="153"/>
        <v>#REF!</v>
      </c>
    </row>
    <row r="1531" spans="8:34" hidden="1">
      <c r="H1531" s="2924"/>
      <c r="I1531" s="2924"/>
      <c r="J1531" s="2924"/>
      <c r="K1531" s="2924"/>
      <c r="L1531" s="2925"/>
      <c r="M1531" s="2925"/>
      <c r="N1531" s="2925"/>
      <c r="O1531" s="2925"/>
      <c r="P1531" s="2926"/>
      <c r="Q1531" s="1748"/>
      <c r="R1531" s="2221"/>
      <c r="S1531" s="1748"/>
      <c r="T1531" s="679"/>
      <c r="U1531" s="53"/>
      <c r="V1531" s="53"/>
      <c r="W1531" s="53"/>
      <c r="X1531" s="153" t="e">
        <f>#REF!+#REF!+#REF!</f>
        <v>#REF!</v>
      </c>
      <c r="Y1531" s="679"/>
      <c r="Z1531" s="679"/>
      <c r="AA1531" s="679"/>
      <c r="AB1531" s="679"/>
      <c r="AC1531" s="679"/>
      <c r="AD1531" s="181"/>
      <c r="AE1531" s="151">
        <v>1890000</v>
      </c>
      <c r="AF1531" s="163"/>
      <c r="AG1531" s="153">
        <f t="shared" si="155"/>
        <v>1890000</v>
      </c>
      <c r="AH1531" s="160" t="e">
        <f t="shared" si="153"/>
        <v>#REF!</v>
      </c>
    </row>
    <row r="1532" spans="8:34" hidden="1">
      <c r="H1532" s="2924"/>
      <c r="I1532" s="2924"/>
      <c r="J1532" s="2924"/>
      <c r="K1532" s="2924"/>
      <c r="L1532" s="2925"/>
      <c r="M1532" s="2925"/>
      <c r="N1532" s="2925"/>
      <c r="O1532" s="2925"/>
      <c r="P1532" s="2926"/>
      <c r="Q1532" s="1748"/>
      <c r="R1532" s="2221"/>
      <c r="S1532" s="1748"/>
      <c r="T1532" s="679"/>
      <c r="U1532" s="53"/>
      <c r="V1532" s="53"/>
      <c r="W1532" s="53"/>
      <c r="X1532" s="153" t="e">
        <f>#REF!+#REF!+#REF!</f>
        <v>#REF!</v>
      </c>
      <c r="Y1532" s="679"/>
      <c r="Z1532" s="679"/>
      <c r="AA1532" s="679"/>
      <c r="AB1532" s="679"/>
      <c r="AC1532" s="679"/>
      <c r="AD1532" s="181"/>
      <c r="AE1532" s="151"/>
      <c r="AF1532" s="163"/>
      <c r="AG1532" s="153">
        <f t="shared" si="155"/>
        <v>0</v>
      </c>
      <c r="AH1532" s="160" t="e">
        <f t="shared" si="153"/>
        <v>#REF!</v>
      </c>
    </row>
    <row r="1533" spans="8:34" hidden="1">
      <c r="H1533" s="2924"/>
      <c r="I1533" s="2924"/>
      <c r="J1533" s="2924"/>
      <c r="K1533" s="2924"/>
      <c r="L1533" s="2925"/>
      <c r="M1533" s="2925"/>
      <c r="N1533" s="2925"/>
      <c r="O1533" s="2925"/>
      <c r="P1533" s="2926"/>
      <c r="Q1533" s="1748"/>
      <c r="R1533" s="2221"/>
      <c r="S1533" s="1748"/>
      <c r="T1533" s="679"/>
      <c r="U1533" s="53"/>
      <c r="V1533" s="53"/>
      <c r="W1533" s="53"/>
      <c r="X1533" s="153" t="e">
        <f>#REF!+#REF!+#REF!</f>
        <v>#REF!</v>
      </c>
      <c r="Y1533" s="679"/>
      <c r="Z1533" s="679"/>
      <c r="AA1533" s="679"/>
      <c r="AB1533" s="679"/>
      <c r="AC1533" s="679"/>
      <c r="AD1533" s="181"/>
      <c r="AE1533" s="151">
        <v>25000</v>
      </c>
      <c r="AF1533" s="163"/>
      <c r="AG1533" s="153">
        <f>AD1533+AE1533+AF1533</f>
        <v>25000</v>
      </c>
      <c r="AH1533" s="160" t="e">
        <f t="shared" si="153"/>
        <v>#REF!</v>
      </c>
    </row>
    <row r="1534" spans="8:34" hidden="1">
      <c r="H1534" s="2924"/>
      <c r="I1534" s="2924"/>
      <c r="J1534" s="2924"/>
      <c r="K1534" s="2924"/>
      <c r="L1534" s="2925"/>
      <c r="M1534" s="2925"/>
      <c r="N1534" s="2925"/>
      <c r="O1534" s="2925"/>
      <c r="P1534" s="2926"/>
      <c r="Q1534" s="1748"/>
      <c r="R1534" s="2221"/>
      <c r="S1534" s="1748"/>
      <c r="T1534" s="679"/>
      <c r="U1534" s="53"/>
      <c r="V1534" s="53"/>
      <c r="W1534" s="53"/>
      <c r="X1534" s="153" t="e">
        <f>#REF!+#REF!+#REF!</f>
        <v>#REF!</v>
      </c>
      <c r="Y1534" s="679"/>
      <c r="Z1534" s="679"/>
      <c r="AA1534" s="679"/>
      <c r="AB1534" s="679"/>
      <c r="AC1534" s="679"/>
      <c r="AD1534" s="181">
        <v>50000</v>
      </c>
      <c r="AE1534" s="151"/>
      <c r="AF1534" s="163"/>
      <c r="AG1534" s="153">
        <f>AD1534+AE1534+AF1534</f>
        <v>50000</v>
      </c>
      <c r="AH1534" s="160" t="e">
        <f t="shared" si="153"/>
        <v>#REF!</v>
      </c>
    </row>
    <row r="1535" spans="8:34" hidden="1">
      <c r="H1535" s="2924"/>
      <c r="I1535" s="2924"/>
      <c r="J1535" s="2924"/>
      <c r="K1535" s="2924"/>
      <c r="L1535" s="2925"/>
      <c r="M1535" s="2925"/>
      <c r="N1535" s="2925"/>
      <c r="O1535" s="2925"/>
      <c r="P1535" s="2926"/>
      <c r="Q1535" s="1748"/>
      <c r="R1535" s="2221"/>
      <c r="S1535" s="1748"/>
      <c r="T1535" s="679"/>
      <c r="U1535" s="53"/>
      <c r="V1535" s="53"/>
      <c r="W1535" s="53"/>
      <c r="X1535" s="153" t="e">
        <f>#REF!+#REF!+#REF!</f>
        <v>#REF!</v>
      </c>
      <c r="Y1535" s="679"/>
      <c r="Z1535" s="679"/>
      <c r="AA1535" s="679"/>
      <c r="AB1535" s="679"/>
      <c r="AC1535" s="679"/>
      <c r="AD1535" s="181"/>
      <c r="AE1535" s="151">
        <v>65000</v>
      </c>
      <c r="AF1535" s="163"/>
      <c r="AG1535" s="153">
        <f t="shared" si="155"/>
        <v>65000</v>
      </c>
      <c r="AH1535" s="160" t="e">
        <f t="shared" si="153"/>
        <v>#REF!</v>
      </c>
    </row>
    <row r="1536" spans="8:34" hidden="1">
      <c r="H1536" s="2924"/>
      <c r="I1536" s="2924"/>
      <c r="J1536" s="2924"/>
      <c r="K1536" s="2924"/>
      <c r="L1536" s="2925"/>
      <c r="M1536" s="2925"/>
      <c r="N1536" s="2925"/>
      <c r="O1536" s="2925"/>
      <c r="P1536" s="2926"/>
      <c r="Q1536" s="1748"/>
      <c r="R1536" s="2221"/>
      <c r="S1536" s="1748"/>
      <c r="T1536" s="679"/>
      <c r="U1536" s="53"/>
      <c r="V1536" s="53"/>
      <c r="W1536" s="53"/>
      <c r="X1536" s="153" t="e">
        <f>#REF!+#REF!+#REF!</f>
        <v>#REF!</v>
      </c>
      <c r="Y1536" s="679"/>
      <c r="Z1536" s="679"/>
      <c r="AA1536" s="679"/>
      <c r="AB1536" s="679"/>
      <c r="AC1536" s="679"/>
      <c r="AD1536" s="181"/>
      <c r="AE1536" s="151"/>
      <c r="AF1536" s="163"/>
      <c r="AG1536" s="153">
        <f t="shared" si="155"/>
        <v>0</v>
      </c>
      <c r="AH1536" s="160"/>
    </row>
    <row r="1537" spans="8:34" hidden="1">
      <c r="H1537" s="2924"/>
      <c r="I1537" s="2924"/>
      <c r="J1537" s="2924"/>
      <c r="K1537" s="2924"/>
      <c r="L1537" s="2925"/>
      <c r="M1537" s="2925"/>
      <c r="N1537" s="2925"/>
      <c r="O1537" s="2925"/>
      <c r="P1537" s="2926"/>
      <c r="Q1537" s="1748"/>
      <c r="R1537" s="2221"/>
      <c r="S1537" s="1748"/>
      <c r="T1537" s="679"/>
      <c r="U1537" s="53"/>
      <c r="V1537" s="53"/>
      <c r="W1537" s="53"/>
      <c r="X1537" s="153" t="e">
        <f>#REF!+#REF!+#REF!</f>
        <v>#REF!</v>
      </c>
      <c r="Y1537" s="679"/>
      <c r="Z1537" s="679"/>
      <c r="AA1537" s="679"/>
      <c r="AB1537" s="679"/>
      <c r="AC1537" s="679"/>
      <c r="AD1537" s="181"/>
      <c r="AE1537" s="151"/>
      <c r="AF1537" s="163"/>
      <c r="AG1537" s="153">
        <f t="shared" si="155"/>
        <v>0</v>
      </c>
      <c r="AH1537" s="160"/>
    </row>
    <row r="1538" spans="8:34" hidden="1">
      <c r="H1538" s="2909"/>
      <c r="I1538" s="2909"/>
      <c r="J1538" s="2909"/>
      <c r="K1538" s="2909"/>
      <c r="L1538" s="2910"/>
      <c r="M1538" s="2910"/>
      <c r="N1538" s="2910"/>
      <c r="O1538" s="2910"/>
      <c r="P1538" s="2911"/>
      <c r="Q1538" s="1260"/>
      <c r="R1538" s="2216"/>
      <c r="S1538" s="1260"/>
      <c r="T1538" s="446"/>
      <c r="U1538" s="70"/>
      <c r="V1538" s="70"/>
      <c r="W1538" s="70"/>
      <c r="X1538" s="145" t="e">
        <f>#REF!+#REF!+#REF!</f>
        <v>#REF!</v>
      </c>
      <c r="Y1538" s="446"/>
      <c r="Z1538" s="446"/>
      <c r="AA1538" s="446"/>
      <c r="AB1538" s="446"/>
      <c r="AC1538" s="446"/>
      <c r="AD1538" s="150"/>
      <c r="AE1538" s="147"/>
      <c r="AF1538" s="162"/>
      <c r="AG1538" s="145">
        <f t="shared" si="155"/>
        <v>0</v>
      </c>
      <c r="AH1538" s="160" t="e">
        <f t="shared" ref="AH1538:AH1543" si="156">AG1538/X1538*100</f>
        <v>#REF!</v>
      </c>
    </row>
    <row r="1539" spans="8:34" hidden="1">
      <c r="H1539" s="2909"/>
      <c r="I1539" s="2909"/>
      <c r="J1539" s="2909"/>
      <c r="K1539" s="2909"/>
      <c r="L1539" s="2910"/>
      <c r="M1539" s="2910"/>
      <c r="N1539" s="2910"/>
      <c r="O1539" s="2910"/>
      <c r="P1539" s="2911"/>
      <c r="Q1539" s="1260"/>
      <c r="R1539" s="2216"/>
      <c r="S1539" s="1260"/>
      <c r="T1539" s="446"/>
      <c r="U1539" s="70"/>
      <c r="V1539" s="70"/>
      <c r="W1539" s="70"/>
      <c r="X1539" s="145" t="e">
        <f>SUM(#REF!)</f>
        <v>#REF!</v>
      </c>
      <c r="Y1539" s="446"/>
      <c r="Z1539" s="446"/>
      <c r="AA1539" s="446"/>
      <c r="AB1539" s="446"/>
      <c r="AC1539" s="446"/>
      <c r="AD1539" s="150"/>
      <c r="AE1539" s="147"/>
      <c r="AF1539" s="162"/>
      <c r="AG1539" s="145">
        <f>SUM(AD1539:AF1539)</f>
        <v>0</v>
      </c>
      <c r="AH1539" s="160" t="e">
        <f t="shared" si="156"/>
        <v>#REF!</v>
      </c>
    </row>
    <row r="1540" spans="8:34" hidden="1">
      <c r="H1540" s="2909"/>
      <c r="I1540" s="2909"/>
      <c r="J1540" s="2909"/>
      <c r="K1540" s="2909"/>
      <c r="L1540" s="2910"/>
      <c r="M1540" s="2910"/>
      <c r="N1540" s="2910"/>
      <c r="O1540" s="2910"/>
      <c r="P1540" s="2911"/>
      <c r="Q1540" s="1260"/>
      <c r="R1540" s="2216"/>
      <c r="S1540" s="1260"/>
      <c r="T1540" s="446"/>
      <c r="U1540" s="70"/>
      <c r="V1540" s="70"/>
      <c r="W1540" s="70"/>
      <c r="X1540" s="145" t="e">
        <f>SUM(#REF!)</f>
        <v>#REF!</v>
      </c>
      <c r="Y1540" s="446"/>
      <c r="Z1540" s="446"/>
      <c r="AA1540" s="446"/>
      <c r="AB1540" s="446"/>
      <c r="AC1540" s="446"/>
      <c r="AD1540" s="150"/>
      <c r="AE1540" s="147"/>
      <c r="AF1540" s="162"/>
      <c r="AG1540" s="145">
        <f>SUM(AD1540:AF1540)</f>
        <v>0</v>
      </c>
      <c r="AH1540" s="160" t="e">
        <f t="shared" si="156"/>
        <v>#REF!</v>
      </c>
    </row>
    <row r="1541" spans="8:34" hidden="1">
      <c r="H1541" s="2909"/>
      <c r="I1541" s="2909"/>
      <c r="J1541" s="2909"/>
      <c r="K1541" s="2909"/>
      <c r="L1541" s="2910"/>
      <c r="M1541" s="2910"/>
      <c r="N1541" s="2910"/>
      <c r="O1541" s="2910"/>
      <c r="P1541" s="2911"/>
      <c r="Q1541" s="1260"/>
      <c r="R1541" s="2216"/>
      <c r="S1541" s="1260"/>
      <c r="T1541" s="446"/>
      <c r="U1541" s="70"/>
      <c r="V1541" s="70"/>
      <c r="W1541" s="70"/>
      <c r="X1541" s="145" t="e">
        <f>SUM(#REF!)</f>
        <v>#REF!</v>
      </c>
      <c r="Y1541" s="446"/>
      <c r="Z1541" s="446"/>
      <c r="AA1541" s="446"/>
      <c r="AB1541" s="446"/>
      <c r="AC1541" s="446"/>
      <c r="AD1541" s="150"/>
      <c r="AE1541" s="147"/>
      <c r="AF1541" s="162"/>
      <c r="AG1541" s="145">
        <f>SUM(AD1541:AF1541)</f>
        <v>0</v>
      </c>
      <c r="AH1541" s="160" t="e">
        <f t="shared" si="156"/>
        <v>#REF!</v>
      </c>
    </row>
    <row r="1542" spans="8:34" hidden="1">
      <c r="H1542" s="2909"/>
      <c r="I1542" s="2909"/>
      <c r="J1542" s="2909"/>
      <c r="K1542" s="2909"/>
      <c r="L1542" s="2910"/>
      <c r="M1542" s="2910"/>
      <c r="N1542" s="2910"/>
      <c r="O1542" s="2910"/>
      <c r="P1542" s="2911"/>
      <c r="Q1542" s="1260"/>
      <c r="R1542" s="2216"/>
      <c r="S1542" s="1260"/>
      <c r="T1542" s="446"/>
      <c r="U1542" s="70"/>
      <c r="V1542" s="70"/>
      <c r="W1542" s="70"/>
      <c r="X1542" s="145"/>
      <c r="Y1542" s="446"/>
      <c r="Z1542" s="446"/>
      <c r="AA1542" s="446"/>
      <c r="AB1542" s="446"/>
      <c r="AC1542" s="446"/>
      <c r="AD1542" s="150"/>
      <c r="AE1542" s="147"/>
      <c r="AF1542" s="162"/>
      <c r="AG1542" s="145"/>
      <c r="AH1542" s="160" t="e">
        <f t="shared" si="156"/>
        <v>#DIV/0!</v>
      </c>
    </row>
    <row r="1543" spans="8:34" hidden="1">
      <c r="H1543" s="2909"/>
      <c r="I1543" s="2909"/>
      <c r="J1543" s="2909"/>
      <c r="K1543" s="2909"/>
      <c r="L1543" s="2910"/>
      <c r="M1543" s="2910"/>
      <c r="N1543" s="2910"/>
      <c r="O1543" s="2910"/>
      <c r="P1543" s="2911"/>
      <c r="Q1543" s="1260"/>
      <c r="R1543" s="2216"/>
      <c r="S1543" s="1260"/>
      <c r="T1543" s="446"/>
      <c r="U1543" s="70"/>
      <c r="V1543" s="70"/>
      <c r="W1543" s="70"/>
      <c r="X1543" s="145" t="e">
        <f>SUM(#REF!)</f>
        <v>#REF!</v>
      </c>
      <c r="Y1543" s="446"/>
      <c r="Z1543" s="446"/>
      <c r="AA1543" s="446"/>
      <c r="AB1543" s="446"/>
      <c r="AC1543" s="446"/>
      <c r="AD1543" s="150"/>
      <c r="AE1543" s="147"/>
      <c r="AF1543" s="162"/>
      <c r="AG1543" s="145">
        <f t="shared" ref="AG1543:AG1551" si="157">SUM(AD1543:AF1543)</f>
        <v>0</v>
      </c>
      <c r="AH1543" s="160" t="e">
        <f t="shared" si="156"/>
        <v>#REF!</v>
      </c>
    </row>
    <row r="1544" spans="8:34" hidden="1">
      <c r="H1544" s="2924"/>
      <c r="I1544" s="2924"/>
      <c r="J1544" s="2924"/>
      <c r="K1544" s="2924"/>
      <c r="L1544" s="2925"/>
      <c r="M1544" s="2925"/>
      <c r="N1544" s="2925"/>
      <c r="O1544" s="2925"/>
      <c r="P1544" s="2926"/>
      <c r="Q1544" s="1748"/>
      <c r="R1544" s="2221"/>
      <c r="S1544" s="1748"/>
      <c r="T1544" s="679"/>
      <c r="U1544" s="53"/>
      <c r="V1544" s="53"/>
      <c r="W1544" s="53"/>
      <c r="X1544" s="145" t="e">
        <f>SUM(#REF!)</f>
        <v>#REF!</v>
      </c>
      <c r="Y1544" s="446"/>
      <c r="Z1544" s="446"/>
      <c r="AA1544" s="446"/>
      <c r="AB1544" s="446"/>
      <c r="AC1544" s="446"/>
      <c r="AD1544" s="195">
        <v>610000</v>
      </c>
      <c r="AE1544" s="151"/>
      <c r="AF1544" s="163"/>
      <c r="AG1544" s="145">
        <f t="shared" si="157"/>
        <v>610000</v>
      </c>
      <c r="AH1544" s="160"/>
    </row>
    <row r="1545" spans="8:34" hidden="1">
      <c r="H1545" s="2909"/>
      <c r="I1545" s="2909"/>
      <c r="J1545" s="2909"/>
      <c r="K1545" s="2909"/>
      <c r="L1545" s="2910"/>
      <c r="M1545" s="2910"/>
      <c r="N1545" s="2910"/>
      <c r="O1545" s="2910"/>
      <c r="P1545" s="2911"/>
      <c r="Q1545" s="1260"/>
      <c r="R1545" s="2216"/>
      <c r="S1545" s="1260"/>
      <c r="T1545" s="446"/>
      <c r="U1545" s="70"/>
      <c r="V1545" s="70"/>
      <c r="W1545" s="70"/>
      <c r="X1545" s="145" t="e">
        <f>SUM(#REF!)</f>
        <v>#REF!</v>
      </c>
      <c r="Y1545" s="446"/>
      <c r="Z1545" s="446"/>
      <c r="AA1545" s="446"/>
      <c r="AB1545" s="446"/>
      <c r="AC1545" s="446"/>
      <c r="AD1545" s="150"/>
      <c r="AE1545" s="151"/>
      <c r="AF1545" s="162"/>
      <c r="AG1545" s="145">
        <f t="shared" si="157"/>
        <v>0</v>
      </c>
      <c r="AH1545" s="160" t="e">
        <f t="shared" ref="AH1545:AH1562" si="158">AG1545/X1545*100</f>
        <v>#REF!</v>
      </c>
    </row>
    <row r="1546" spans="8:34" hidden="1">
      <c r="H1546" s="2924"/>
      <c r="I1546" s="2924"/>
      <c r="J1546" s="2924"/>
      <c r="K1546" s="2924"/>
      <c r="L1546" s="2925"/>
      <c r="M1546" s="2925"/>
      <c r="N1546" s="2925"/>
      <c r="O1546" s="2925"/>
      <c r="P1546" s="2926"/>
      <c r="Q1546" s="1748"/>
      <c r="R1546" s="2221"/>
      <c r="S1546" s="1748"/>
      <c r="T1546" s="679"/>
      <c r="U1546" s="53"/>
      <c r="V1546" s="53"/>
      <c r="W1546" s="53"/>
      <c r="X1546" s="145" t="e">
        <f>SUM(#REF!)</f>
        <v>#REF!</v>
      </c>
      <c r="Y1546" s="446"/>
      <c r="Z1546" s="446"/>
      <c r="AA1546" s="446"/>
      <c r="AB1546" s="446"/>
      <c r="AC1546" s="446"/>
      <c r="AD1546" s="150"/>
      <c r="AE1546" s="151"/>
      <c r="AF1546" s="162"/>
      <c r="AG1546" s="145">
        <f t="shared" si="157"/>
        <v>0</v>
      </c>
      <c r="AH1546" s="160" t="e">
        <f t="shared" si="158"/>
        <v>#REF!</v>
      </c>
    </row>
    <row r="1547" spans="8:34" hidden="1">
      <c r="H1547" s="2909"/>
      <c r="I1547" s="2909"/>
      <c r="J1547" s="2909"/>
      <c r="K1547" s="2909"/>
      <c r="L1547" s="2910"/>
      <c r="M1547" s="2910"/>
      <c r="N1547" s="2910"/>
      <c r="O1547" s="2910"/>
      <c r="P1547" s="2911"/>
      <c r="Q1547" s="1260"/>
      <c r="R1547" s="2216"/>
      <c r="S1547" s="1260"/>
      <c r="T1547" s="446"/>
      <c r="U1547" s="70"/>
      <c r="V1547" s="70"/>
      <c r="W1547" s="70"/>
      <c r="X1547" s="145" t="e">
        <f>SUM(#REF!)</f>
        <v>#REF!</v>
      </c>
      <c r="Y1547" s="446"/>
      <c r="Z1547" s="446"/>
      <c r="AA1547" s="446"/>
      <c r="AB1547" s="446"/>
      <c r="AC1547" s="446"/>
      <c r="AD1547" s="195">
        <v>693000</v>
      </c>
      <c r="AE1547" s="151"/>
      <c r="AF1547" s="162"/>
      <c r="AG1547" s="145">
        <f t="shared" si="157"/>
        <v>693000</v>
      </c>
      <c r="AH1547" s="160" t="e">
        <f t="shared" si="158"/>
        <v>#REF!</v>
      </c>
    </row>
    <row r="1548" spans="8:34" hidden="1">
      <c r="H1548" s="2909"/>
      <c r="I1548" s="2909"/>
      <c r="J1548" s="2909"/>
      <c r="K1548" s="2909"/>
      <c r="L1548" s="2910"/>
      <c r="M1548" s="2910"/>
      <c r="N1548" s="2910"/>
      <c r="O1548" s="2910"/>
      <c r="P1548" s="2911"/>
      <c r="Q1548" s="1260"/>
      <c r="R1548" s="2216"/>
      <c r="S1548" s="1260"/>
      <c r="T1548" s="446"/>
      <c r="U1548" s="70"/>
      <c r="V1548" s="70"/>
      <c r="W1548" s="70"/>
      <c r="X1548" s="145" t="e">
        <f>SUM(#REF!)</f>
        <v>#REF!</v>
      </c>
      <c r="Y1548" s="446"/>
      <c r="Z1548" s="446"/>
      <c r="AA1548" s="446"/>
      <c r="AB1548" s="446"/>
      <c r="AC1548" s="446"/>
      <c r="AD1548" s="150"/>
      <c r="AE1548" s="151"/>
      <c r="AF1548" s="162"/>
      <c r="AG1548" s="145">
        <f t="shared" si="157"/>
        <v>0</v>
      </c>
      <c r="AH1548" s="160" t="e">
        <f t="shared" si="158"/>
        <v>#REF!</v>
      </c>
    </row>
    <row r="1549" spans="8:34" hidden="1">
      <c r="H1549" s="2924"/>
      <c r="I1549" s="2924"/>
      <c r="J1549" s="2924"/>
      <c r="K1549" s="2924"/>
      <c r="L1549" s="2925"/>
      <c r="M1549" s="2925"/>
      <c r="N1549" s="2925"/>
      <c r="O1549" s="2925"/>
      <c r="P1549" s="2926"/>
      <c r="Q1549" s="1748"/>
      <c r="R1549" s="2221"/>
      <c r="S1549" s="1748"/>
      <c r="T1549" s="679"/>
      <c r="U1549" s="53"/>
      <c r="V1549" s="53"/>
      <c r="W1549" s="53"/>
      <c r="X1549" s="145" t="e">
        <f>SUM(#REF!)</f>
        <v>#REF!</v>
      </c>
      <c r="Y1549" s="446"/>
      <c r="Z1549" s="446"/>
      <c r="AA1549" s="446"/>
      <c r="AB1549" s="446"/>
      <c r="AC1549" s="446"/>
      <c r="AD1549" s="150"/>
      <c r="AE1549" s="147"/>
      <c r="AF1549" s="163"/>
      <c r="AG1549" s="145">
        <f t="shared" si="157"/>
        <v>0</v>
      </c>
      <c r="AH1549" s="160" t="e">
        <f t="shared" si="158"/>
        <v>#REF!</v>
      </c>
    </row>
    <row r="1550" spans="8:34" hidden="1">
      <c r="H1550" s="2924"/>
      <c r="I1550" s="2924"/>
      <c r="J1550" s="2924"/>
      <c r="K1550" s="2924"/>
      <c r="L1550" s="2925"/>
      <c r="M1550" s="2925"/>
      <c r="N1550" s="2925"/>
      <c r="O1550" s="2925"/>
      <c r="P1550" s="2926"/>
      <c r="Q1550" s="1748"/>
      <c r="R1550" s="2221"/>
      <c r="S1550" s="1748"/>
      <c r="T1550" s="679"/>
      <c r="U1550" s="53"/>
      <c r="V1550" s="53"/>
      <c r="W1550" s="53"/>
      <c r="X1550" s="145" t="e">
        <f>SUM(#REF!)</f>
        <v>#REF!</v>
      </c>
      <c r="Y1550" s="446"/>
      <c r="Z1550" s="446"/>
      <c r="AA1550" s="446"/>
      <c r="AB1550" s="446"/>
      <c r="AC1550" s="446"/>
      <c r="AD1550" s="150">
        <v>20000</v>
      </c>
      <c r="AE1550" s="151"/>
      <c r="AF1550" s="163"/>
      <c r="AG1550" s="145">
        <f t="shared" si="157"/>
        <v>20000</v>
      </c>
      <c r="AH1550" s="160" t="e">
        <f t="shared" si="158"/>
        <v>#REF!</v>
      </c>
    </row>
    <row r="1551" spans="8:34" hidden="1">
      <c r="H1551" s="2924"/>
      <c r="I1551" s="2924"/>
      <c r="J1551" s="2924"/>
      <c r="K1551" s="2924"/>
      <c r="L1551" s="2925"/>
      <c r="M1551" s="2925"/>
      <c r="N1551" s="2925"/>
      <c r="O1551" s="2925"/>
      <c r="P1551" s="2926"/>
      <c r="Q1551" s="1748"/>
      <c r="R1551" s="2221"/>
      <c r="S1551" s="1748"/>
      <c r="T1551" s="679"/>
      <c r="U1551" s="53"/>
      <c r="V1551" s="53"/>
      <c r="W1551" s="53"/>
      <c r="X1551" s="145" t="e">
        <f>SUM(#REF!)</f>
        <v>#REF!</v>
      </c>
      <c r="Y1551" s="446"/>
      <c r="Z1551" s="446"/>
      <c r="AA1551" s="446"/>
      <c r="AB1551" s="446"/>
      <c r="AC1551" s="446"/>
      <c r="AD1551" s="150">
        <v>50000</v>
      </c>
      <c r="AE1551" s="151"/>
      <c r="AF1551" s="163"/>
      <c r="AG1551" s="145">
        <f t="shared" si="157"/>
        <v>50000</v>
      </c>
      <c r="AH1551" s="160" t="e">
        <f t="shared" si="158"/>
        <v>#REF!</v>
      </c>
    </row>
    <row r="1552" spans="8:34" hidden="1">
      <c r="H1552" s="2909"/>
      <c r="I1552" s="2909"/>
      <c r="J1552" s="2909"/>
      <c r="K1552" s="2909"/>
      <c r="L1552" s="2910"/>
      <c r="M1552" s="2910"/>
      <c r="N1552" s="2910"/>
      <c r="O1552" s="2910"/>
      <c r="P1552" s="2911"/>
      <c r="Q1552" s="1260"/>
      <c r="R1552" s="2216"/>
      <c r="S1552" s="1260"/>
      <c r="T1552" s="446"/>
      <c r="U1552" s="70"/>
      <c r="V1552" s="70"/>
      <c r="W1552" s="70"/>
      <c r="X1552" s="145"/>
      <c r="Y1552" s="446"/>
      <c r="Z1552" s="446"/>
      <c r="AA1552" s="446"/>
      <c r="AB1552" s="446"/>
      <c r="AC1552" s="446"/>
      <c r="AD1552" s="150"/>
      <c r="AE1552" s="147"/>
      <c r="AF1552" s="162"/>
      <c r="AG1552" s="145"/>
      <c r="AH1552" s="160" t="e">
        <f t="shared" si="158"/>
        <v>#DIV/0!</v>
      </c>
    </row>
    <row r="1553" spans="8:34" hidden="1">
      <c r="H1553" s="2909"/>
      <c r="I1553" s="2909"/>
      <c r="J1553" s="2909"/>
      <c r="K1553" s="2909"/>
      <c r="L1553" s="2910"/>
      <c r="M1553" s="2910"/>
      <c r="N1553" s="2910"/>
      <c r="O1553" s="2910"/>
      <c r="P1553" s="2911"/>
      <c r="Q1553" s="1260"/>
      <c r="R1553" s="2216"/>
      <c r="S1553" s="1260"/>
      <c r="T1553" s="446"/>
      <c r="U1553" s="70"/>
      <c r="V1553" s="70"/>
      <c r="W1553" s="70"/>
      <c r="X1553" s="145"/>
      <c r="Y1553" s="446"/>
      <c r="Z1553" s="446"/>
      <c r="AA1553" s="446"/>
      <c r="AB1553" s="446"/>
      <c r="AC1553" s="446"/>
      <c r="AD1553" s="150"/>
      <c r="AE1553" s="147"/>
      <c r="AF1553" s="162"/>
      <c r="AG1553" s="145"/>
      <c r="AH1553" s="160" t="e">
        <f t="shared" si="158"/>
        <v>#DIV/0!</v>
      </c>
    </row>
    <row r="1554" spans="8:34" hidden="1">
      <c r="H1554" s="2924"/>
      <c r="I1554" s="2924"/>
      <c r="J1554" s="2924"/>
      <c r="K1554" s="2924"/>
      <c r="L1554" s="2925"/>
      <c r="M1554" s="2925"/>
      <c r="N1554" s="2925"/>
      <c r="O1554" s="2925"/>
      <c r="P1554" s="2926"/>
      <c r="Q1554" s="1748"/>
      <c r="R1554" s="2221"/>
      <c r="S1554" s="1748"/>
      <c r="T1554" s="679"/>
      <c r="U1554" s="53"/>
      <c r="V1554" s="53"/>
      <c r="W1554" s="53"/>
      <c r="X1554" s="145" t="e">
        <f>SUM(#REF!)</f>
        <v>#REF!</v>
      </c>
      <c r="Y1554" s="446"/>
      <c r="Z1554" s="446"/>
      <c r="AA1554" s="446"/>
      <c r="AB1554" s="446"/>
      <c r="AC1554" s="446"/>
      <c r="AD1554" s="150">
        <v>20000</v>
      </c>
      <c r="AE1554" s="151"/>
      <c r="AF1554" s="163"/>
      <c r="AG1554" s="145">
        <f>SUM(AD1554:AF1554)</f>
        <v>20000</v>
      </c>
      <c r="AH1554" s="160" t="e">
        <f t="shared" si="158"/>
        <v>#REF!</v>
      </c>
    </row>
    <row r="1555" spans="8:34" hidden="1">
      <c r="H1555" s="2924"/>
      <c r="I1555" s="2924"/>
      <c r="J1555" s="2924"/>
      <c r="K1555" s="2924"/>
      <c r="L1555" s="2925"/>
      <c r="M1555" s="2925"/>
      <c r="N1555" s="2925"/>
      <c r="O1555" s="2925"/>
      <c r="P1555" s="2926"/>
      <c r="Q1555" s="1748"/>
      <c r="R1555" s="2221"/>
      <c r="S1555" s="1748"/>
      <c r="T1555" s="679"/>
      <c r="U1555" s="53"/>
      <c r="V1555" s="53"/>
      <c r="W1555" s="53"/>
      <c r="X1555" s="145"/>
      <c r="Y1555" s="446"/>
      <c r="Z1555" s="446"/>
      <c r="AA1555" s="446"/>
      <c r="AB1555" s="446"/>
      <c r="AC1555" s="446"/>
      <c r="AD1555" s="150"/>
      <c r="AE1555" s="151"/>
      <c r="AF1555" s="163"/>
      <c r="AG1555" s="145"/>
      <c r="AH1555" s="160" t="e">
        <f t="shared" si="158"/>
        <v>#DIV/0!</v>
      </c>
    </row>
    <row r="1556" spans="8:34" hidden="1">
      <c r="H1556" s="2909"/>
      <c r="I1556" s="2909"/>
      <c r="J1556" s="2909"/>
      <c r="K1556" s="2909"/>
      <c r="L1556" s="2910"/>
      <c r="M1556" s="2910"/>
      <c r="N1556" s="2910"/>
      <c r="O1556" s="2910"/>
      <c r="P1556" s="2911"/>
      <c r="Q1556" s="1260"/>
      <c r="R1556" s="2216"/>
      <c r="S1556" s="1260"/>
      <c r="T1556" s="446"/>
      <c r="U1556" s="70"/>
      <c r="V1556" s="70"/>
      <c r="W1556" s="70"/>
      <c r="X1556" s="145" t="e">
        <f>SUM(#REF!)</f>
        <v>#REF!</v>
      </c>
      <c r="Y1556" s="446"/>
      <c r="Z1556" s="446"/>
      <c r="AA1556" s="446"/>
      <c r="AB1556" s="446"/>
      <c r="AC1556" s="446"/>
      <c r="AD1556" s="150">
        <v>120000</v>
      </c>
      <c r="AE1556" s="147"/>
      <c r="AF1556" s="162"/>
      <c r="AG1556" s="145">
        <f t="shared" ref="AG1556:AG1564" si="159">SUM(AD1556:AF1556)</f>
        <v>120000</v>
      </c>
      <c r="AH1556" s="160" t="e">
        <f t="shared" si="158"/>
        <v>#REF!</v>
      </c>
    </row>
    <row r="1557" spans="8:34" hidden="1">
      <c r="H1557" s="2909"/>
      <c r="I1557" s="2909"/>
      <c r="J1557" s="2909"/>
      <c r="K1557" s="2909"/>
      <c r="L1557" s="2910"/>
      <c r="M1557" s="2910"/>
      <c r="N1557" s="2910"/>
      <c r="O1557" s="2910"/>
      <c r="P1557" s="2911"/>
      <c r="Q1557" s="1260"/>
      <c r="R1557" s="2216"/>
      <c r="S1557" s="1260"/>
      <c r="T1557" s="446"/>
      <c r="U1557" s="70"/>
      <c r="V1557" s="70"/>
      <c r="W1557" s="70"/>
      <c r="X1557" s="145" t="e">
        <f>SUM(#REF!)</f>
        <v>#REF!</v>
      </c>
      <c r="Y1557" s="446"/>
      <c r="Z1557" s="446"/>
      <c r="AA1557" s="446"/>
      <c r="AB1557" s="446"/>
      <c r="AC1557" s="446"/>
      <c r="AD1557" s="150"/>
      <c r="AE1557" s="147"/>
      <c r="AF1557" s="162"/>
      <c r="AG1557" s="145">
        <f t="shared" si="159"/>
        <v>0</v>
      </c>
      <c r="AH1557" s="160" t="e">
        <f t="shared" si="158"/>
        <v>#REF!</v>
      </c>
    </row>
    <row r="1558" spans="8:34" hidden="1">
      <c r="H1558" s="2909"/>
      <c r="I1558" s="2909"/>
      <c r="J1558" s="2909"/>
      <c r="K1558" s="2909"/>
      <c r="L1558" s="2910"/>
      <c r="M1558" s="2910"/>
      <c r="N1558" s="2910"/>
      <c r="O1558" s="2910"/>
      <c r="P1558" s="2911"/>
      <c r="Q1558" s="1260"/>
      <c r="R1558" s="2216"/>
      <c r="S1558" s="1260"/>
      <c r="T1558" s="446"/>
      <c r="U1558" s="70"/>
      <c r="V1558" s="70"/>
      <c r="W1558" s="70"/>
      <c r="X1558" s="145" t="e">
        <f>SUM(#REF!)</f>
        <v>#REF!</v>
      </c>
      <c r="Y1558" s="446"/>
      <c r="Z1558" s="446"/>
      <c r="AA1558" s="446"/>
      <c r="AB1558" s="446"/>
      <c r="AC1558" s="446"/>
      <c r="AD1558" s="150"/>
      <c r="AE1558" s="147"/>
      <c r="AF1558" s="162"/>
      <c r="AG1558" s="145">
        <f t="shared" si="159"/>
        <v>0</v>
      </c>
      <c r="AH1558" s="160" t="e">
        <f t="shared" si="158"/>
        <v>#REF!</v>
      </c>
    </row>
    <row r="1559" spans="8:34" hidden="1">
      <c r="H1559" s="2909"/>
      <c r="I1559" s="2909"/>
      <c r="J1559" s="2909"/>
      <c r="K1559" s="2909"/>
      <c r="L1559" s="2910"/>
      <c r="M1559" s="2910"/>
      <c r="N1559" s="2910"/>
      <c r="O1559" s="2910"/>
      <c r="P1559" s="2911"/>
      <c r="Q1559" s="1260"/>
      <c r="R1559" s="2216"/>
      <c r="S1559" s="1260"/>
      <c r="T1559" s="446"/>
      <c r="U1559" s="70"/>
      <c r="V1559" s="70"/>
      <c r="W1559" s="70"/>
      <c r="X1559" s="145" t="e">
        <f>SUM(#REF!)</f>
        <v>#REF!</v>
      </c>
      <c r="Y1559" s="446"/>
      <c r="Z1559" s="446"/>
      <c r="AA1559" s="446"/>
      <c r="AB1559" s="446"/>
      <c r="AC1559" s="446"/>
      <c r="AD1559" s="150">
        <v>10000</v>
      </c>
      <c r="AE1559" s="147"/>
      <c r="AF1559" s="162"/>
      <c r="AG1559" s="145">
        <f t="shared" si="159"/>
        <v>10000</v>
      </c>
      <c r="AH1559" s="160" t="e">
        <f t="shared" si="158"/>
        <v>#REF!</v>
      </c>
    </row>
    <row r="1560" spans="8:34" hidden="1">
      <c r="H1560" s="2909"/>
      <c r="I1560" s="2909"/>
      <c r="J1560" s="2909"/>
      <c r="K1560" s="2909"/>
      <c r="L1560" s="2910"/>
      <c r="M1560" s="2910"/>
      <c r="N1560" s="2910"/>
      <c r="O1560" s="2910"/>
      <c r="P1560" s="2911"/>
      <c r="Q1560" s="1260"/>
      <c r="R1560" s="2216"/>
      <c r="S1560" s="1260"/>
      <c r="T1560" s="446"/>
      <c r="U1560" s="70"/>
      <c r="V1560" s="70"/>
      <c r="W1560" s="70"/>
      <c r="X1560" s="145" t="e">
        <f>SUM(#REF!)</f>
        <v>#REF!</v>
      </c>
      <c r="Y1560" s="446"/>
      <c r="Z1560" s="446"/>
      <c r="AA1560" s="446"/>
      <c r="AB1560" s="446"/>
      <c r="AC1560" s="446"/>
      <c r="AD1560" s="150">
        <v>135000</v>
      </c>
      <c r="AE1560" s="147"/>
      <c r="AF1560" s="162"/>
      <c r="AG1560" s="145">
        <f t="shared" si="159"/>
        <v>135000</v>
      </c>
      <c r="AH1560" s="160" t="e">
        <f t="shared" si="158"/>
        <v>#REF!</v>
      </c>
    </row>
    <row r="1561" spans="8:34" hidden="1">
      <c r="H1561" s="2909"/>
      <c r="I1561" s="2909"/>
      <c r="J1561" s="2909"/>
      <c r="K1561" s="2909"/>
      <c r="L1561" s="2910"/>
      <c r="M1561" s="2910"/>
      <c r="N1561" s="2910"/>
      <c r="O1561" s="2910"/>
      <c r="P1561" s="2911"/>
      <c r="Q1561" s="1260"/>
      <c r="R1561" s="2216"/>
      <c r="S1561" s="1260"/>
      <c r="T1561" s="446"/>
      <c r="U1561" s="70"/>
      <c r="V1561" s="70"/>
      <c r="W1561" s="70"/>
      <c r="X1561" s="145" t="e">
        <f>SUM(#REF!)</f>
        <v>#REF!</v>
      </c>
      <c r="Y1561" s="446"/>
      <c r="Z1561" s="446"/>
      <c r="AA1561" s="446"/>
      <c r="AB1561" s="446"/>
      <c r="AC1561" s="446"/>
      <c r="AD1561" s="150"/>
      <c r="AE1561" s="147">
        <v>100000</v>
      </c>
      <c r="AF1561" s="162"/>
      <c r="AG1561" s="145">
        <f t="shared" si="159"/>
        <v>100000</v>
      </c>
      <c r="AH1561" s="160" t="e">
        <f t="shared" si="158"/>
        <v>#REF!</v>
      </c>
    </row>
    <row r="1562" spans="8:34" hidden="1">
      <c r="H1562" s="2909"/>
      <c r="I1562" s="2909"/>
      <c r="J1562" s="2909"/>
      <c r="K1562" s="2909"/>
      <c r="L1562" s="2910"/>
      <c r="M1562" s="2910"/>
      <c r="N1562" s="2910"/>
      <c r="O1562" s="2910"/>
      <c r="P1562" s="2911"/>
      <c r="Q1562" s="1260"/>
      <c r="R1562" s="2216"/>
      <c r="S1562" s="1260"/>
      <c r="T1562" s="446"/>
      <c r="U1562" s="70"/>
      <c r="V1562" s="70"/>
      <c r="W1562" s="70"/>
      <c r="X1562" s="145" t="e">
        <f>SUM(#REF!)</f>
        <v>#REF!</v>
      </c>
      <c r="Y1562" s="446"/>
      <c r="Z1562" s="446"/>
      <c r="AA1562" s="446"/>
      <c r="AB1562" s="446"/>
      <c r="AC1562" s="446"/>
      <c r="AD1562" s="150"/>
      <c r="AE1562" s="147"/>
      <c r="AF1562" s="162"/>
      <c r="AG1562" s="145">
        <f t="shared" si="159"/>
        <v>0</v>
      </c>
      <c r="AH1562" s="160" t="e">
        <f t="shared" si="158"/>
        <v>#REF!</v>
      </c>
    </row>
    <row r="1563" spans="8:34" hidden="1">
      <c r="H1563" s="2909"/>
      <c r="I1563" s="2909"/>
      <c r="J1563" s="2909"/>
      <c r="K1563" s="2909"/>
      <c r="L1563" s="2910"/>
      <c r="M1563" s="2910"/>
      <c r="N1563" s="2910"/>
      <c r="O1563" s="2910"/>
      <c r="P1563" s="2911"/>
      <c r="Q1563" s="1260"/>
      <c r="R1563" s="2216"/>
      <c r="S1563" s="1260"/>
      <c r="T1563" s="446"/>
      <c r="U1563" s="70"/>
      <c r="V1563" s="70"/>
      <c r="W1563" s="70"/>
      <c r="X1563" s="145"/>
      <c r="Y1563" s="446"/>
      <c r="Z1563" s="446"/>
      <c r="AA1563" s="446"/>
      <c r="AB1563" s="446"/>
      <c r="AC1563" s="446"/>
      <c r="AD1563" s="195">
        <v>81000</v>
      </c>
      <c r="AE1563" s="147"/>
      <c r="AF1563" s="162"/>
      <c r="AG1563" s="145">
        <f t="shared" si="159"/>
        <v>81000</v>
      </c>
      <c r="AH1563" s="160"/>
    </row>
    <row r="1564" spans="8:34" hidden="1">
      <c r="H1564" s="2909"/>
      <c r="I1564" s="2909"/>
      <c r="J1564" s="2909"/>
      <c r="K1564" s="2909"/>
      <c r="L1564" s="2910"/>
      <c r="M1564" s="2910"/>
      <c r="N1564" s="2910"/>
      <c r="O1564" s="2910"/>
      <c r="P1564" s="2911"/>
      <c r="Q1564" s="1260"/>
      <c r="R1564" s="2216"/>
      <c r="S1564" s="1260"/>
      <c r="T1564" s="446"/>
      <c r="U1564" s="70"/>
      <c r="V1564" s="70"/>
      <c r="W1564" s="70"/>
      <c r="X1564" s="145" t="e">
        <f>SUM(#REF!)</f>
        <v>#REF!</v>
      </c>
      <c r="Y1564" s="446"/>
      <c r="Z1564" s="446"/>
      <c r="AA1564" s="446"/>
      <c r="AB1564" s="446"/>
      <c r="AC1564" s="446"/>
      <c r="AD1564" s="161">
        <v>40000</v>
      </c>
      <c r="AE1564" s="147"/>
      <c r="AF1564" s="162"/>
      <c r="AG1564" s="145">
        <f t="shared" si="159"/>
        <v>40000</v>
      </c>
      <c r="AH1564" s="160" t="e">
        <f>AG1564/X1564*100</f>
        <v>#REF!</v>
      </c>
    </row>
    <row r="1565" spans="8:34" hidden="1">
      <c r="H1565" s="2909"/>
      <c r="I1565" s="2909"/>
      <c r="J1565" s="2909"/>
      <c r="K1565" s="2909"/>
      <c r="L1565" s="2910"/>
      <c r="M1565" s="2910"/>
      <c r="N1565" s="2910"/>
      <c r="O1565" s="2910"/>
      <c r="P1565" s="2911"/>
      <c r="Q1565" s="1260"/>
      <c r="R1565" s="2216"/>
      <c r="S1565" s="1260"/>
      <c r="T1565" s="446"/>
      <c r="U1565" s="70"/>
      <c r="V1565" s="70"/>
      <c r="W1565" s="70"/>
      <c r="X1565" s="145" t="e">
        <f t="shared" ref="X1565:AG1565" si="160">SUM(X1566:X1568,X1569)</f>
        <v>#REF!</v>
      </c>
      <c r="Y1565" s="446"/>
      <c r="Z1565" s="446"/>
      <c r="AA1565" s="446"/>
      <c r="AB1565" s="446"/>
      <c r="AC1565" s="446"/>
      <c r="AD1565" s="161">
        <f t="shared" si="160"/>
        <v>15000</v>
      </c>
      <c r="AE1565" s="147">
        <f t="shared" si="160"/>
        <v>0</v>
      </c>
      <c r="AF1565" s="162">
        <f t="shared" si="160"/>
        <v>0</v>
      </c>
      <c r="AG1565" s="145">
        <f t="shared" si="160"/>
        <v>15000</v>
      </c>
      <c r="AH1565" s="160"/>
    </row>
    <row r="1566" spans="8:34" hidden="1">
      <c r="H1566" s="2924"/>
      <c r="I1566" s="2924"/>
      <c r="J1566" s="2924"/>
      <c r="K1566" s="2924"/>
      <c r="L1566" s="2925"/>
      <c r="M1566" s="2925"/>
      <c r="N1566" s="2925"/>
      <c r="O1566" s="2925"/>
      <c r="P1566" s="2926"/>
      <c r="Q1566" s="1748"/>
      <c r="R1566" s="2221"/>
      <c r="S1566" s="1748"/>
      <c r="T1566" s="679"/>
      <c r="U1566" s="53"/>
      <c r="V1566" s="53"/>
      <c r="W1566" s="53"/>
      <c r="X1566" s="153" t="e">
        <f>SUM(#REF!)</f>
        <v>#REF!</v>
      </c>
      <c r="Y1566" s="679"/>
      <c r="Z1566" s="679"/>
      <c r="AA1566" s="679"/>
      <c r="AB1566" s="679"/>
      <c r="AC1566" s="679"/>
      <c r="AD1566" s="180">
        <v>1500</v>
      </c>
      <c r="AE1566" s="151"/>
      <c r="AF1566" s="163"/>
      <c r="AG1566" s="153">
        <f t="shared" ref="AG1566:AG1572" si="161">SUM(AD1566:AF1566)</f>
        <v>1500</v>
      </c>
      <c r="AH1566" s="160"/>
    </row>
    <row r="1567" spans="8:34" hidden="1">
      <c r="H1567" s="2924"/>
      <c r="I1567" s="2924"/>
      <c r="J1567" s="2924"/>
      <c r="K1567" s="2924"/>
      <c r="L1567" s="2925"/>
      <c r="M1567" s="2925"/>
      <c r="N1567" s="2925"/>
      <c r="O1567" s="2925"/>
      <c r="P1567" s="2926"/>
      <c r="Q1567" s="1748"/>
      <c r="R1567" s="2221"/>
      <c r="S1567" s="1748"/>
      <c r="T1567" s="679"/>
      <c r="U1567" s="53"/>
      <c r="V1567" s="53"/>
      <c r="W1567" s="53"/>
      <c r="X1567" s="153" t="e">
        <f>SUM(#REF!)</f>
        <v>#REF!</v>
      </c>
      <c r="Y1567" s="679"/>
      <c r="Z1567" s="679"/>
      <c r="AA1567" s="679"/>
      <c r="AB1567" s="679"/>
      <c r="AC1567" s="679"/>
      <c r="AD1567" s="180">
        <v>3300</v>
      </c>
      <c r="AE1567" s="151"/>
      <c r="AF1567" s="163"/>
      <c r="AG1567" s="153">
        <f t="shared" si="161"/>
        <v>3300</v>
      </c>
      <c r="AH1567" s="160"/>
    </row>
    <row r="1568" spans="8:34" hidden="1">
      <c r="H1568" s="2924"/>
      <c r="I1568" s="2924"/>
      <c r="J1568" s="2924"/>
      <c r="K1568" s="2924"/>
      <c r="L1568" s="2925"/>
      <c r="M1568" s="2925"/>
      <c r="N1568" s="2925"/>
      <c r="O1568" s="2925"/>
      <c r="P1568" s="2926"/>
      <c r="Q1568" s="1748"/>
      <c r="R1568" s="2221"/>
      <c r="S1568" s="1748"/>
      <c r="T1568" s="679"/>
      <c r="U1568" s="53"/>
      <c r="V1568" s="53"/>
      <c r="W1568" s="53"/>
      <c r="X1568" s="153" t="e">
        <f>SUM(#REF!)</f>
        <v>#REF!</v>
      </c>
      <c r="Y1568" s="679"/>
      <c r="Z1568" s="679"/>
      <c r="AA1568" s="679"/>
      <c r="AB1568" s="679"/>
      <c r="AC1568" s="679"/>
      <c r="AD1568" s="180">
        <v>10000</v>
      </c>
      <c r="AE1568" s="151"/>
      <c r="AF1568" s="163"/>
      <c r="AG1568" s="153">
        <f t="shared" si="161"/>
        <v>10000</v>
      </c>
      <c r="AH1568" s="160"/>
    </row>
    <row r="1569" spans="8:34" hidden="1">
      <c r="H1569" s="2924"/>
      <c r="I1569" s="2924"/>
      <c r="J1569" s="2924"/>
      <c r="K1569" s="2924"/>
      <c r="L1569" s="2925"/>
      <c r="M1569" s="2925"/>
      <c r="N1569" s="2925"/>
      <c r="O1569" s="2925"/>
      <c r="P1569" s="2926"/>
      <c r="Q1569" s="1748"/>
      <c r="R1569" s="2221"/>
      <c r="S1569" s="1748"/>
      <c r="T1569" s="679"/>
      <c r="U1569" s="53"/>
      <c r="V1569" s="53"/>
      <c r="W1569" s="53"/>
      <c r="X1569" s="153" t="e">
        <f>SUM(#REF!)</f>
        <v>#REF!</v>
      </c>
      <c r="Y1569" s="679"/>
      <c r="Z1569" s="679"/>
      <c r="AA1569" s="679"/>
      <c r="AB1569" s="679"/>
      <c r="AC1569" s="679"/>
      <c r="AD1569" s="180">
        <v>200</v>
      </c>
      <c r="AE1569" s="151"/>
      <c r="AF1569" s="163"/>
      <c r="AG1569" s="153">
        <f t="shared" si="161"/>
        <v>200</v>
      </c>
      <c r="AH1569" s="160"/>
    </row>
    <row r="1570" spans="8:34" hidden="1">
      <c r="H1570" s="2909"/>
      <c r="I1570" s="2909"/>
      <c r="J1570" s="2909"/>
      <c r="K1570" s="2909"/>
      <c r="L1570" s="2910"/>
      <c r="M1570" s="2910"/>
      <c r="N1570" s="2910"/>
      <c r="O1570" s="2910"/>
      <c r="P1570" s="2911"/>
      <c r="Q1570" s="1260"/>
      <c r="R1570" s="2216"/>
      <c r="S1570" s="1260"/>
      <c r="T1570" s="446"/>
      <c r="U1570" s="70"/>
      <c r="V1570" s="70"/>
      <c r="W1570" s="70"/>
      <c r="X1570" s="145" t="e">
        <f>SUM(#REF!)</f>
        <v>#REF!</v>
      </c>
      <c r="Y1570" s="446"/>
      <c r="Z1570" s="446"/>
      <c r="AA1570" s="446"/>
      <c r="AB1570" s="446"/>
      <c r="AC1570" s="446"/>
      <c r="AD1570" s="161"/>
      <c r="AE1570" s="147"/>
      <c r="AF1570" s="162"/>
      <c r="AG1570" s="145">
        <f t="shared" si="161"/>
        <v>0</v>
      </c>
      <c r="AH1570" s="160"/>
    </row>
    <row r="1571" spans="8:34" hidden="1">
      <c r="H1571" s="2909"/>
      <c r="I1571" s="2909"/>
      <c r="J1571" s="2909"/>
      <c r="K1571" s="2909"/>
      <c r="L1571" s="2910"/>
      <c r="M1571" s="2910"/>
      <c r="N1571" s="2910"/>
      <c r="O1571" s="2910"/>
      <c r="P1571" s="2911"/>
      <c r="Q1571" s="1260"/>
      <c r="R1571" s="2216"/>
      <c r="S1571" s="1260"/>
      <c r="T1571" s="446"/>
      <c r="U1571" s="70"/>
      <c r="V1571" s="70"/>
      <c r="W1571" s="70"/>
      <c r="X1571" s="145" t="e">
        <f>SUM(#REF!)</f>
        <v>#REF!</v>
      </c>
      <c r="Y1571" s="446"/>
      <c r="Z1571" s="446"/>
      <c r="AA1571" s="446"/>
      <c r="AB1571" s="446"/>
      <c r="AC1571" s="446"/>
      <c r="AD1571" s="161"/>
      <c r="AE1571" s="147"/>
      <c r="AF1571" s="162"/>
      <c r="AG1571" s="145">
        <f t="shared" si="161"/>
        <v>0</v>
      </c>
      <c r="AH1571" s="160" t="e">
        <f t="shared" ref="AH1571:AH1576" si="162">AG1571/X1571*100</f>
        <v>#REF!</v>
      </c>
    </row>
    <row r="1572" spans="8:34" hidden="1">
      <c r="H1572" s="2909"/>
      <c r="I1572" s="2909"/>
      <c r="J1572" s="2909"/>
      <c r="K1572" s="2909"/>
      <c r="L1572" s="2910"/>
      <c r="M1572" s="2910"/>
      <c r="N1572" s="2910"/>
      <c r="O1572" s="2910"/>
      <c r="P1572" s="2911"/>
      <c r="Q1572" s="1260"/>
      <c r="R1572" s="2216"/>
      <c r="S1572" s="1260"/>
      <c r="T1572" s="446"/>
      <c r="U1572" s="70"/>
      <c r="V1572" s="70"/>
      <c r="W1572" s="70"/>
      <c r="X1572" s="145" t="e">
        <f>SUM(#REF!)</f>
        <v>#REF!</v>
      </c>
      <c r="Y1572" s="446"/>
      <c r="Z1572" s="446"/>
      <c r="AA1572" s="446"/>
      <c r="AB1572" s="446"/>
      <c r="AC1572" s="446"/>
      <c r="AD1572" s="161"/>
      <c r="AE1572" s="147"/>
      <c r="AF1572" s="162"/>
      <c r="AG1572" s="145">
        <f t="shared" si="161"/>
        <v>0</v>
      </c>
      <c r="AH1572" s="160" t="e">
        <f t="shared" si="162"/>
        <v>#REF!</v>
      </c>
    </row>
    <row r="1573" spans="8:34" hidden="1">
      <c r="H1573" s="2909"/>
      <c r="I1573" s="2909"/>
      <c r="J1573" s="2909"/>
      <c r="K1573" s="2909"/>
      <c r="L1573" s="2910"/>
      <c r="M1573" s="2910"/>
      <c r="N1573" s="2910"/>
      <c r="O1573" s="2910"/>
      <c r="P1573" s="2911"/>
      <c r="Q1573" s="1260"/>
      <c r="R1573" s="2216"/>
      <c r="S1573" s="1260"/>
      <c r="T1573" s="446"/>
      <c r="U1573" s="70"/>
      <c r="V1573" s="70"/>
      <c r="W1573" s="70"/>
      <c r="X1573" s="145" t="e">
        <f t="shared" ref="X1573:AG1573" si="163">SUM(X1574:X1575)</f>
        <v>#REF!</v>
      </c>
      <c r="Y1573" s="446"/>
      <c r="Z1573" s="446"/>
      <c r="AA1573" s="446"/>
      <c r="AB1573" s="446"/>
      <c r="AC1573" s="446"/>
      <c r="AD1573" s="161">
        <f t="shared" si="163"/>
        <v>290000</v>
      </c>
      <c r="AE1573" s="147">
        <f t="shared" si="163"/>
        <v>0</v>
      </c>
      <c r="AF1573" s="162">
        <f t="shared" si="163"/>
        <v>0</v>
      </c>
      <c r="AG1573" s="145">
        <f t="shared" si="163"/>
        <v>290000</v>
      </c>
      <c r="AH1573" s="160" t="e">
        <f t="shared" si="162"/>
        <v>#REF!</v>
      </c>
    </row>
    <row r="1574" spans="8:34" hidden="1">
      <c r="H1574" s="2924"/>
      <c r="I1574" s="2924"/>
      <c r="J1574" s="2924"/>
      <c r="K1574" s="2924"/>
      <c r="L1574" s="2925"/>
      <c r="M1574" s="2925"/>
      <c r="N1574" s="2925"/>
      <c r="O1574" s="2925"/>
      <c r="P1574" s="2926"/>
      <c r="Q1574" s="1748"/>
      <c r="R1574" s="2221"/>
      <c r="S1574" s="1748"/>
      <c r="T1574" s="679"/>
      <c r="U1574" s="53"/>
      <c r="V1574" s="53"/>
      <c r="W1574" s="53"/>
      <c r="X1574" s="153" t="e">
        <f>SUM(#REF!)</f>
        <v>#REF!</v>
      </c>
      <c r="Y1574" s="679"/>
      <c r="Z1574" s="679"/>
      <c r="AA1574" s="679"/>
      <c r="AB1574" s="679"/>
      <c r="AC1574" s="679"/>
      <c r="AD1574" s="180">
        <v>250000</v>
      </c>
      <c r="AE1574" s="151"/>
      <c r="AF1574" s="163"/>
      <c r="AG1574" s="153">
        <f>SUM(AD1574:AF1574)</f>
        <v>250000</v>
      </c>
      <c r="AH1574" s="160" t="e">
        <f t="shared" si="162"/>
        <v>#REF!</v>
      </c>
    </row>
    <row r="1575" spans="8:34" hidden="1">
      <c r="H1575" s="2924"/>
      <c r="I1575" s="2924"/>
      <c r="J1575" s="2924"/>
      <c r="K1575" s="2924"/>
      <c r="L1575" s="2925"/>
      <c r="M1575" s="2925"/>
      <c r="N1575" s="2925"/>
      <c r="O1575" s="2925"/>
      <c r="P1575" s="2926"/>
      <c r="Q1575" s="1748"/>
      <c r="R1575" s="2221"/>
      <c r="S1575" s="1748"/>
      <c r="T1575" s="679"/>
      <c r="U1575" s="53"/>
      <c r="V1575" s="53"/>
      <c r="W1575" s="53"/>
      <c r="X1575" s="153" t="e">
        <f>SUM(#REF!)</f>
        <v>#REF!</v>
      </c>
      <c r="Y1575" s="679"/>
      <c r="Z1575" s="679"/>
      <c r="AA1575" s="679"/>
      <c r="AB1575" s="679"/>
      <c r="AC1575" s="679"/>
      <c r="AD1575" s="180">
        <v>40000</v>
      </c>
      <c r="AE1575" s="151"/>
      <c r="AF1575" s="163"/>
      <c r="AG1575" s="153">
        <f>SUM(AD1575:AF1575)</f>
        <v>40000</v>
      </c>
      <c r="AH1575" s="160" t="e">
        <f t="shared" si="162"/>
        <v>#REF!</v>
      </c>
    </row>
    <row r="1576" spans="8:34" hidden="1">
      <c r="H1576" s="2909"/>
      <c r="I1576" s="2909"/>
      <c r="J1576" s="2909"/>
      <c r="K1576" s="2909"/>
      <c r="L1576" s="2910"/>
      <c r="M1576" s="2910"/>
      <c r="N1576" s="2910"/>
      <c r="O1576" s="2910"/>
      <c r="P1576" s="2911"/>
      <c r="Q1576" s="1260"/>
      <c r="R1576" s="2216"/>
      <c r="S1576" s="1260"/>
      <c r="T1576" s="446"/>
      <c r="U1576" s="70"/>
      <c r="V1576" s="70"/>
      <c r="W1576" s="70"/>
      <c r="X1576" s="145" t="e">
        <f t="shared" ref="X1576" si="164">SUM(X1580)</f>
        <v>#REF!</v>
      </c>
      <c r="Y1576" s="446"/>
      <c r="Z1576" s="446"/>
      <c r="AA1576" s="446"/>
      <c r="AB1576" s="446"/>
      <c r="AC1576" s="446"/>
      <c r="AD1576" s="161">
        <f>SUM(AD1578:AD1580)</f>
        <v>20000</v>
      </c>
      <c r="AE1576" s="147">
        <f t="shared" ref="AE1576" si="165">SUM(AE1578:AE1580)</f>
        <v>0</v>
      </c>
      <c r="AF1576" s="162">
        <f>SUM(AF1577:AF1580)</f>
        <v>984000</v>
      </c>
      <c r="AG1576" s="145">
        <f>SUM(AG1577:AG1580)</f>
        <v>1004000</v>
      </c>
      <c r="AH1576" s="160" t="e">
        <f t="shared" si="162"/>
        <v>#REF!</v>
      </c>
    </row>
    <row r="1577" spans="8:34" hidden="1">
      <c r="H1577" s="2909"/>
      <c r="I1577" s="2909"/>
      <c r="J1577" s="2909"/>
      <c r="K1577" s="2909"/>
      <c r="L1577" s="2910"/>
      <c r="M1577" s="2910"/>
      <c r="N1577" s="2910"/>
      <c r="O1577" s="2910"/>
      <c r="P1577" s="2911"/>
      <c r="Q1577" s="1260"/>
      <c r="R1577" s="2216"/>
      <c r="S1577" s="1260"/>
      <c r="T1577" s="446"/>
      <c r="U1577" s="70"/>
      <c r="V1577" s="70"/>
      <c r="W1577" s="70"/>
      <c r="X1577" s="145"/>
      <c r="Y1577" s="446"/>
      <c r="Z1577" s="446"/>
      <c r="AA1577" s="446"/>
      <c r="AB1577" s="446"/>
      <c r="AC1577" s="446"/>
      <c r="AD1577" s="150"/>
      <c r="AE1577" s="147"/>
      <c r="AF1577" s="196">
        <v>84000</v>
      </c>
      <c r="AG1577" s="153">
        <f>SUM(AD1577:AF1577)</f>
        <v>84000</v>
      </c>
      <c r="AH1577" s="160"/>
    </row>
    <row r="1578" spans="8:34" hidden="1">
      <c r="H1578" s="2924"/>
      <c r="I1578" s="2924"/>
      <c r="J1578" s="2924"/>
      <c r="K1578" s="2924"/>
      <c r="L1578" s="2925"/>
      <c r="M1578" s="2925"/>
      <c r="N1578" s="2925"/>
      <c r="O1578" s="2925"/>
      <c r="P1578" s="2926"/>
      <c r="Q1578" s="1748"/>
      <c r="R1578" s="2221"/>
      <c r="S1578" s="1748"/>
      <c r="T1578" s="679"/>
      <c r="U1578" s="53"/>
      <c r="V1578" s="53"/>
      <c r="W1578" s="53"/>
      <c r="X1578" s="153"/>
      <c r="Y1578" s="679"/>
      <c r="Z1578" s="679"/>
      <c r="AA1578" s="679"/>
      <c r="AB1578" s="679"/>
      <c r="AC1578" s="679"/>
      <c r="AD1578" s="187"/>
      <c r="AE1578" s="151"/>
      <c r="AF1578" s="163">
        <v>900000</v>
      </c>
      <c r="AG1578" s="153">
        <f>SUM(AD1578:AF1578)</f>
        <v>900000</v>
      </c>
      <c r="AH1578" s="197"/>
    </row>
    <row r="1579" spans="8:34" hidden="1">
      <c r="H1579" s="2924"/>
      <c r="I1579" s="2924"/>
      <c r="J1579" s="2924"/>
      <c r="K1579" s="2924"/>
      <c r="L1579" s="2925"/>
      <c r="M1579" s="2925"/>
      <c r="N1579" s="2925"/>
      <c r="O1579" s="2925"/>
      <c r="P1579" s="2926"/>
      <c r="Q1579" s="1748"/>
      <c r="R1579" s="2221"/>
      <c r="S1579" s="1748"/>
      <c r="T1579" s="679"/>
      <c r="U1579" s="53"/>
      <c r="V1579" s="53"/>
      <c r="W1579" s="53"/>
      <c r="X1579" s="153"/>
      <c r="Y1579" s="679"/>
      <c r="Z1579" s="679"/>
      <c r="AA1579" s="679"/>
      <c r="AB1579" s="679"/>
      <c r="AC1579" s="679"/>
      <c r="AD1579" s="181"/>
      <c r="AE1579" s="151"/>
      <c r="AF1579" s="163"/>
      <c r="AG1579" s="153">
        <f t="shared" ref="AG1579:AG1580" si="166">SUM(AD1579:AF1579)</f>
        <v>0</v>
      </c>
      <c r="AH1579" s="197"/>
    </row>
    <row r="1580" spans="8:34" hidden="1">
      <c r="H1580" s="2924"/>
      <c r="I1580" s="2924"/>
      <c r="J1580" s="2924"/>
      <c r="K1580" s="2924"/>
      <c r="L1580" s="2925"/>
      <c r="M1580" s="2925"/>
      <c r="N1580" s="2925"/>
      <c r="O1580" s="2925"/>
      <c r="P1580" s="2926"/>
      <c r="Q1580" s="1748"/>
      <c r="R1580" s="2221"/>
      <c r="S1580" s="1748"/>
      <c r="T1580" s="679"/>
      <c r="U1580" s="53"/>
      <c r="V1580" s="53"/>
      <c r="W1580" s="53"/>
      <c r="X1580" s="153" t="e">
        <f>SUM(#REF!)</f>
        <v>#REF!</v>
      </c>
      <c r="Y1580" s="679"/>
      <c r="Z1580" s="679"/>
      <c r="AA1580" s="679"/>
      <c r="AB1580" s="679"/>
      <c r="AC1580" s="679"/>
      <c r="AD1580" s="181">
        <v>20000</v>
      </c>
      <c r="AE1580" s="151"/>
      <c r="AF1580" s="163"/>
      <c r="AG1580" s="153">
        <f t="shared" si="166"/>
        <v>20000</v>
      </c>
      <c r="AH1580" s="160" t="e">
        <f>AG1580/X1580*100</f>
        <v>#REF!</v>
      </c>
    </row>
    <row r="1581" spans="8:34" hidden="1">
      <c r="H1581" s="2921"/>
      <c r="I1581" s="2921"/>
      <c r="J1581" s="2921"/>
      <c r="K1581" s="2921"/>
      <c r="L1581" s="2922"/>
      <c r="M1581" s="2922"/>
      <c r="N1581" s="2922"/>
      <c r="O1581" s="2922"/>
      <c r="P1581" s="2923"/>
      <c r="Q1581" s="1511"/>
      <c r="R1581" s="2220"/>
      <c r="S1581" s="1511"/>
      <c r="T1581" s="572"/>
      <c r="U1581" s="12"/>
      <c r="V1581" s="12"/>
      <c r="W1581" s="12"/>
      <c r="X1581" s="174" t="e">
        <f t="shared" ref="X1581:AG1581" si="167">SUM(X1583,)</f>
        <v>#REF!</v>
      </c>
      <c r="Y1581" s="572"/>
      <c r="Z1581" s="572"/>
      <c r="AA1581" s="572"/>
      <c r="AB1581" s="572"/>
      <c r="AC1581" s="572"/>
      <c r="AD1581" s="175">
        <f t="shared" si="167"/>
        <v>500700</v>
      </c>
      <c r="AE1581" s="172">
        <f t="shared" si="167"/>
        <v>0</v>
      </c>
      <c r="AF1581" s="173">
        <f t="shared" si="167"/>
        <v>0</v>
      </c>
      <c r="AG1581" s="174">
        <f t="shared" si="167"/>
        <v>500700</v>
      </c>
      <c r="AH1581" s="176" t="e">
        <f>AG1581/X1581*100</f>
        <v>#REF!</v>
      </c>
    </row>
    <row r="1582" spans="8:34" hidden="1">
      <c r="H1582" s="2921"/>
      <c r="I1582" s="2921"/>
      <c r="J1582" s="2921"/>
      <c r="K1582" s="2921"/>
      <c r="L1582" s="2922"/>
      <c r="M1582" s="2922"/>
      <c r="N1582" s="2922"/>
      <c r="O1582" s="2922"/>
      <c r="P1582" s="2923"/>
      <c r="Q1582" s="1511"/>
      <c r="R1582" s="2220"/>
      <c r="S1582" s="1511"/>
      <c r="T1582" s="572"/>
      <c r="U1582" s="12"/>
      <c r="V1582" s="12"/>
      <c r="W1582" s="12"/>
      <c r="X1582" s="174"/>
      <c r="Y1582" s="572"/>
      <c r="Z1582" s="572"/>
      <c r="AA1582" s="572"/>
      <c r="AB1582" s="572"/>
      <c r="AC1582" s="572"/>
      <c r="AD1582" s="198">
        <v>10</v>
      </c>
      <c r="AE1582" s="172"/>
      <c r="AF1582" s="173"/>
      <c r="AG1582" s="174"/>
      <c r="AH1582" s="176"/>
    </row>
    <row r="1583" spans="8:34" hidden="1">
      <c r="H1583" s="2906"/>
      <c r="I1583" s="2906"/>
      <c r="J1583" s="2906"/>
      <c r="K1583" s="2906"/>
      <c r="L1583" s="2907"/>
      <c r="M1583" s="2907"/>
      <c r="N1583" s="2907"/>
      <c r="O1583" s="2907"/>
      <c r="P1583" s="2908"/>
      <c r="Q1583" s="1744"/>
      <c r="R1583" s="2215"/>
      <c r="S1583" s="1744"/>
      <c r="T1583" s="1145"/>
      <c r="U1583" s="965"/>
      <c r="V1583" s="965"/>
      <c r="W1583" s="965"/>
      <c r="X1583" s="145" t="e">
        <f>SUM(X1584,X1594,X1596,X1615)</f>
        <v>#REF!</v>
      </c>
      <c r="Y1583" s="446"/>
      <c r="Z1583" s="446"/>
      <c r="AA1583" s="446"/>
      <c r="AB1583" s="446"/>
      <c r="AC1583" s="446"/>
      <c r="AD1583" s="201">
        <f>SUM(AD1584,AD1594,AD1596,AD1615)</f>
        <v>500700</v>
      </c>
      <c r="AE1583" s="199"/>
      <c r="AF1583" s="200"/>
      <c r="AG1583" s="145">
        <f>SUM(AG1584,AG1594,AG1596,AG1615)</f>
        <v>500700</v>
      </c>
      <c r="AH1583" s="160" t="e">
        <f t="shared" ref="AH1583:AH1589" si="168">AG1583/X1583*100</f>
        <v>#REF!</v>
      </c>
    </row>
    <row r="1584" spans="8:34" hidden="1">
      <c r="H1584" s="2903"/>
      <c r="I1584" s="2903"/>
      <c r="J1584" s="2903"/>
      <c r="K1584" s="2903"/>
      <c r="L1584" s="2904"/>
      <c r="M1584" s="2904"/>
      <c r="N1584" s="2904"/>
      <c r="O1584" s="2904"/>
      <c r="P1584" s="2905"/>
      <c r="Q1584" s="1743"/>
      <c r="R1584" s="2214"/>
      <c r="S1584" s="1743"/>
      <c r="T1584" s="1144"/>
      <c r="U1584" s="705"/>
      <c r="V1584" s="705"/>
      <c r="W1584" s="705"/>
      <c r="X1584" s="145" t="e">
        <f>SUM(X1586:X1588)</f>
        <v>#REF!</v>
      </c>
      <c r="Y1584" s="446"/>
      <c r="Z1584" s="446"/>
      <c r="AA1584" s="446"/>
      <c r="AB1584" s="446"/>
      <c r="AC1584" s="446"/>
      <c r="AD1584" s="201">
        <f>SUM(AD1585,AD1588)</f>
        <v>266900</v>
      </c>
      <c r="AE1584" s="202">
        <f>SUM(AE1585:AE1586)</f>
        <v>0</v>
      </c>
      <c r="AF1584" s="203">
        <f>SUM(AF1585:AF1586)</f>
        <v>0</v>
      </c>
      <c r="AG1584" s="145">
        <f>SUM(AG1586:AG1588)</f>
        <v>266900</v>
      </c>
      <c r="AH1584" s="160" t="e">
        <f t="shared" si="168"/>
        <v>#REF!</v>
      </c>
    </row>
    <row r="1585" spans="8:34" hidden="1">
      <c r="H1585" s="2903"/>
      <c r="I1585" s="2903"/>
      <c r="J1585" s="2903"/>
      <c r="K1585" s="2903"/>
      <c r="L1585" s="2904"/>
      <c r="M1585" s="2904"/>
      <c r="N1585" s="2904"/>
      <c r="O1585" s="2904"/>
      <c r="P1585" s="2905"/>
      <c r="Q1585" s="1743"/>
      <c r="R1585" s="2214"/>
      <c r="S1585" s="1743"/>
      <c r="T1585" s="1144"/>
      <c r="U1585" s="705"/>
      <c r="V1585" s="705"/>
      <c r="W1585" s="705"/>
      <c r="X1585" s="145" t="e">
        <f>SUM(#REF!)</f>
        <v>#REF!</v>
      </c>
      <c r="Y1585" s="446"/>
      <c r="Z1585" s="446"/>
      <c r="AA1585" s="446"/>
      <c r="AB1585" s="446"/>
      <c r="AC1585" s="446"/>
      <c r="AD1585" s="204">
        <f>SUM(AD1586:AD1587)</f>
        <v>243000</v>
      </c>
      <c r="AE1585" s="202"/>
      <c r="AF1585" s="203"/>
      <c r="AG1585" s="145">
        <f>SUM(AD1585:AF1585)</f>
        <v>243000</v>
      </c>
      <c r="AH1585" s="160" t="e">
        <f t="shared" si="168"/>
        <v>#REF!</v>
      </c>
    </row>
    <row r="1586" spans="8:34" hidden="1">
      <c r="H1586" s="2906"/>
      <c r="I1586" s="2906"/>
      <c r="J1586" s="2906"/>
      <c r="K1586" s="2906"/>
      <c r="L1586" s="2907"/>
      <c r="M1586" s="2907"/>
      <c r="N1586" s="2907"/>
      <c r="O1586" s="2907"/>
      <c r="P1586" s="2908"/>
      <c r="Q1586" s="1744"/>
      <c r="R1586" s="2215"/>
      <c r="S1586" s="1744"/>
      <c r="T1586" s="1145"/>
      <c r="U1586" s="965"/>
      <c r="V1586" s="965"/>
      <c r="W1586" s="965"/>
      <c r="X1586" s="153" t="e">
        <f>SUM(#REF!)</f>
        <v>#REF!</v>
      </c>
      <c r="Y1586" s="679"/>
      <c r="Z1586" s="679"/>
      <c r="AA1586" s="679"/>
      <c r="AB1586" s="679"/>
      <c r="AC1586" s="679"/>
      <c r="AD1586" s="205">
        <v>168000</v>
      </c>
      <c r="AE1586" s="199"/>
      <c r="AF1586" s="200"/>
      <c r="AG1586" s="153">
        <f>SUM(AD1586:AF1586)</f>
        <v>168000</v>
      </c>
      <c r="AH1586" s="160" t="e">
        <f t="shared" si="168"/>
        <v>#REF!</v>
      </c>
    </row>
    <row r="1587" spans="8:34" hidden="1">
      <c r="H1587" s="2903"/>
      <c r="I1587" s="2903"/>
      <c r="J1587" s="2903"/>
      <c r="K1587" s="2903"/>
      <c r="L1587" s="2904"/>
      <c r="M1587" s="2904"/>
      <c r="N1587" s="2904"/>
      <c r="O1587" s="2904"/>
      <c r="P1587" s="2905"/>
      <c r="Q1587" s="1743"/>
      <c r="R1587" s="2214"/>
      <c r="S1587" s="1743"/>
      <c r="T1587" s="1144"/>
      <c r="U1587" s="705"/>
      <c r="V1587" s="705"/>
      <c r="W1587" s="705"/>
      <c r="X1587" s="153" t="e">
        <f>SUM(#REF!)</f>
        <v>#REF!</v>
      </c>
      <c r="Y1587" s="679"/>
      <c r="Z1587" s="679"/>
      <c r="AA1587" s="679"/>
      <c r="AB1587" s="679"/>
      <c r="AC1587" s="679"/>
      <c r="AD1587" s="205">
        <v>75000</v>
      </c>
      <c r="AE1587" s="202"/>
      <c r="AF1587" s="203"/>
      <c r="AG1587" s="153">
        <f>SUM(AD1587:AF1587)</f>
        <v>75000</v>
      </c>
      <c r="AH1587" s="160" t="e">
        <f t="shared" si="168"/>
        <v>#REF!</v>
      </c>
    </row>
    <row r="1588" spans="8:34" hidden="1">
      <c r="H1588" s="2909"/>
      <c r="I1588" s="2909"/>
      <c r="J1588" s="2909"/>
      <c r="K1588" s="2909"/>
      <c r="L1588" s="2910"/>
      <c r="M1588" s="2910"/>
      <c r="N1588" s="2910"/>
      <c r="O1588" s="2910"/>
      <c r="P1588" s="2911"/>
      <c r="Q1588" s="1260"/>
      <c r="R1588" s="2216"/>
      <c r="S1588" s="1260"/>
      <c r="T1588" s="446"/>
      <c r="U1588" s="70"/>
      <c r="V1588" s="70"/>
      <c r="W1588" s="70"/>
      <c r="X1588" s="145" t="e">
        <f t="shared" ref="X1588:AG1588" si="169">SUM(X1589:X1593)</f>
        <v>#REF!</v>
      </c>
      <c r="Y1588" s="446"/>
      <c r="Z1588" s="446"/>
      <c r="AA1588" s="446"/>
      <c r="AB1588" s="446"/>
      <c r="AC1588" s="446"/>
      <c r="AD1588" s="150">
        <f t="shared" si="169"/>
        <v>23900</v>
      </c>
      <c r="AE1588" s="147">
        <f t="shared" si="169"/>
        <v>0</v>
      </c>
      <c r="AF1588" s="162">
        <f t="shared" si="169"/>
        <v>0</v>
      </c>
      <c r="AG1588" s="145">
        <f t="shared" si="169"/>
        <v>23900</v>
      </c>
      <c r="AH1588" s="160" t="e">
        <f t="shared" si="168"/>
        <v>#REF!</v>
      </c>
    </row>
    <row r="1589" spans="8:34" hidden="1">
      <c r="H1589" s="2906"/>
      <c r="I1589" s="2906"/>
      <c r="J1589" s="2906"/>
      <c r="K1589" s="2906"/>
      <c r="L1589" s="2907"/>
      <c r="M1589" s="2907"/>
      <c r="N1589" s="2907"/>
      <c r="O1589" s="2907"/>
      <c r="P1589" s="2908"/>
      <c r="Q1589" s="1744"/>
      <c r="R1589" s="2215"/>
      <c r="S1589" s="1744"/>
      <c r="T1589" s="1145"/>
      <c r="U1589" s="965"/>
      <c r="V1589" s="965"/>
      <c r="W1589" s="965"/>
      <c r="X1589" s="153" t="e">
        <f>SUM(#REF!)</f>
        <v>#REF!</v>
      </c>
      <c r="Y1589" s="679"/>
      <c r="Z1589" s="679"/>
      <c r="AA1589" s="679"/>
      <c r="AB1589" s="679"/>
      <c r="AC1589" s="679"/>
      <c r="AD1589" s="205">
        <v>1400</v>
      </c>
      <c r="AE1589" s="199"/>
      <c r="AF1589" s="200"/>
      <c r="AG1589" s="153">
        <f>SUM(AD1589:AF1589)</f>
        <v>1400</v>
      </c>
      <c r="AH1589" s="160" t="e">
        <f t="shared" si="168"/>
        <v>#REF!</v>
      </c>
    </row>
    <row r="1590" spans="8:34" hidden="1">
      <c r="H1590" s="2906"/>
      <c r="I1590" s="2906"/>
      <c r="J1590" s="2906"/>
      <c r="K1590" s="2906"/>
      <c r="L1590" s="2907"/>
      <c r="M1590" s="2907"/>
      <c r="N1590" s="2907"/>
      <c r="O1590" s="2907"/>
      <c r="P1590" s="2908"/>
      <c r="Q1590" s="1744"/>
      <c r="R1590" s="2215"/>
      <c r="S1590" s="1744"/>
      <c r="T1590" s="1145"/>
      <c r="U1590" s="965"/>
      <c r="V1590" s="965"/>
      <c r="W1590" s="965"/>
      <c r="X1590" s="153"/>
      <c r="Y1590" s="679"/>
      <c r="Z1590" s="679"/>
      <c r="AA1590" s="679"/>
      <c r="AB1590" s="679"/>
      <c r="AC1590" s="679"/>
      <c r="AD1590" s="205"/>
      <c r="AE1590" s="199"/>
      <c r="AF1590" s="200"/>
      <c r="AG1590" s="153"/>
      <c r="AH1590" s="160"/>
    </row>
    <row r="1591" spans="8:34" hidden="1">
      <c r="H1591" s="2906"/>
      <c r="I1591" s="2906"/>
      <c r="J1591" s="2906"/>
      <c r="K1591" s="2906"/>
      <c r="L1591" s="2907"/>
      <c r="M1591" s="2907"/>
      <c r="N1591" s="2907"/>
      <c r="O1591" s="2907"/>
      <c r="P1591" s="2908"/>
      <c r="Q1591" s="1744"/>
      <c r="R1591" s="2215"/>
      <c r="S1591" s="1744"/>
      <c r="T1591" s="1145"/>
      <c r="U1591" s="965"/>
      <c r="V1591" s="965"/>
      <c r="W1591" s="965"/>
      <c r="X1591" s="153" t="e">
        <f>SUM(#REF!)</f>
        <v>#REF!</v>
      </c>
      <c r="Y1591" s="679"/>
      <c r="Z1591" s="679"/>
      <c r="AA1591" s="679"/>
      <c r="AB1591" s="679"/>
      <c r="AC1591" s="679"/>
      <c r="AD1591" s="205">
        <v>18000</v>
      </c>
      <c r="AE1591" s="199"/>
      <c r="AF1591" s="200"/>
      <c r="AG1591" s="153">
        <f>SUM(AD1591:AF1591)</f>
        <v>18000</v>
      </c>
      <c r="AH1591" s="160" t="e">
        <f>AG1591/X1591*100</f>
        <v>#REF!</v>
      </c>
    </row>
    <row r="1592" spans="8:34" hidden="1">
      <c r="H1592" s="2906"/>
      <c r="I1592" s="2906"/>
      <c r="J1592" s="2906"/>
      <c r="K1592" s="2906"/>
      <c r="L1592" s="2907"/>
      <c r="M1592" s="2907"/>
      <c r="N1592" s="2907"/>
      <c r="O1592" s="2907"/>
      <c r="P1592" s="2908"/>
      <c r="Q1592" s="1744"/>
      <c r="R1592" s="2215"/>
      <c r="S1592" s="1744"/>
      <c r="T1592" s="1145"/>
      <c r="U1592" s="965"/>
      <c r="V1592" s="965"/>
      <c r="W1592" s="965"/>
      <c r="X1592" s="153"/>
      <c r="Y1592" s="679"/>
      <c r="Z1592" s="679"/>
      <c r="AA1592" s="679"/>
      <c r="AB1592" s="679"/>
      <c r="AC1592" s="679"/>
      <c r="AD1592" s="205"/>
      <c r="AE1592" s="199"/>
      <c r="AF1592" s="200"/>
      <c r="AG1592" s="153"/>
      <c r="AH1592" s="160"/>
    </row>
    <row r="1593" spans="8:34" hidden="1">
      <c r="H1593" s="2906"/>
      <c r="I1593" s="2906"/>
      <c r="J1593" s="2906"/>
      <c r="K1593" s="2906"/>
      <c r="L1593" s="2907"/>
      <c r="M1593" s="2907"/>
      <c r="N1593" s="2907"/>
      <c r="O1593" s="2907"/>
      <c r="P1593" s="2908"/>
      <c r="Q1593" s="1744"/>
      <c r="R1593" s="2215"/>
      <c r="S1593" s="1744"/>
      <c r="T1593" s="1145"/>
      <c r="U1593" s="965"/>
      <c r="V1593" s="965"/>
      <c r="W1593" s="965"/>
      <c r="X1593" s="153" t="e">
        <f>SUM(#REF!)</f>
        <v>#REF!</v>
      </c>
      <c r="Y1593" s="679"/>
      <c r="Z1593" s="679"/>
      <c r="AA1593" s="679"/>
      <c r="AB1593" s="679"/>
      <c r="AC1593" s="679"/>
      <c r="AD1593" s="205">
        <v>4500</v>
      </c>
      <c r="AE1593" s="199"/>
      <c r="AF1593" s="200"/>
      <c r="AG1593" s="153">
        <f>SUM(AD1593:AF1593)</f>
        <v>4500</v>
      </c>
      <c r="AH1593" s="160" t="e">
        <f t="shared" ref="AH1593:AH1609" si="170">AG1593/X1593*100</f>
        <v>#REF!</v>
      </c>
    </row>
    <row r="1594" spans="8:34" hidden="1">
      <c r="H1594" s="2903"/>
      <c r="I1594" s="2903"/>
      <c r="J1594" s="2903"/>
      <c r="K1594" s="2903"/>
      <c r="L1594" s="2904"/>
      <c r="M1594" s="2904"/>
      <c r="N1594" s="2904"/>
      <c r="O1594" s="2904"/>
      <c r="P1594" s="2905"/>
      <c r="Q1594" s="1743"/>
      <c r="R1594" s="2214"/>
      <c r="S1594" s="1743"/>
      <c r="T1594" s="1144"/>
      <c r="U1594" s="705"/>
      <c r="V1594" s="705"/>
      <c r="W1594" s="705"/>
      <c r="X1594" s="145" t="e">
        <f t="shared" ref="X1594:AG1594" si="171">SUM(X1595)</f>
        <v>#REF!</v>
      </c>
      <c r="Y1594" s="446"/>
      <c r="Z1594" s="446"/>
      <c r="AA1594" s="446"/>
      <c r="AB1594" s="446"/>
      <c r="AC1594" s="446"/>
      <c r="AD1594" s="201">
        <f t="shared" si="171"/>
        <v>27000</v>
      </c>
      <c r="AE1594" s="202">
        <f t="shared" si="171"/>
        <v>0</v>
      </c>
      <c r="AF1594" s="203">
        <f t="shared" si="171"/>
        <v>0</v>
      </c>
      <c r="AG1594" s="145">
        <f t="shared" si="171"/>
        <v>27000</v>
      </c>
      <c r="AH1594" s="160" t="e">
        <f t="shared" si="170"/>
        <v>#REF!</v>
      </c>
    </row>
    <row r="1595" spans="8:34" hidden="1">
      <c r="H1595" s="2909"/>
      <c r="I1595" s="2909"/>
      <c r="J1595" s="2909"/>
      <c r="K1595" s="2909"/>
      <c r="L1595" s="2910"/>
      <c r="M1595" s="2910"/>
      <c r="N1595" s="2910"/>
      <c r="O1595" s="2910"/>
      <c r="P1595" s="2911"/>
      <c r="Q1595" s="1260"/>
      <c r="R1595" s="2216"/>
      <c r="S1595" s="1260"/>
      <c r="T1595" s="446"/>
      <c r="U1595" s="70"/>
      <c r="V1595" s="70"/>
      <c r="W1595" s="70"/>
      <c r="X1595" s="153" t="e">
        <f>SUM(#REF!)</f>
        <v>#REF!</v>
      </c>
      <c r="Y1595" s="679"/>
      <c r="Z1595" s="679"/>
      <c r="AA1595" s="679"/>
      <c r="AB1595" s="679"/>
      <c r="AC1595" s="679"/>
      <c r="AD1595" s="181">
        <v>27000</v>
      </c>
      <c r="AE1595" s="147"/>
      <c r="AF1595" s="162"/>
      <c r="AG1595" s="153">
        <f>SUM(AD1595:AF1595)</f>
        <v>27000</v>
      </c>
      <c r="AH1595" s="160" t="e">
        <f t="shared" si="170"/>
        <v>#REF!</v>
      </c>
    </row>
    <row r="1596" spans="8:34" hidden="1">
      <c r="H1596" s="2927"/>
      <c r="I1596" s="2927"/>
      <c r="J1596" s="2927"/>
      <c r="K1596" s="2927"/>
      <c r="L1596" s="2928"/>
      <c r="M1596" s="2928"/>
      <c r="N1596" s="2928"/>
      <c r="O1596" s="2928"/>
      <c r="P1596" s="2929"/>
      <c r="Q1596" s="1749"/>
      <c r="R1596" s="2222"/>
      <c r="S1596" s="1749"/>
      <c r="T1596" s="575"/>
      <c r="U1596" s="19"/>
      <c r="V1596" s="19"/>
      <c r="W1596" s="19"/>
      <c r="X1596" s="206" t="e">
        <f t="shared" ref="X1596:AG1596" si="172">SUM(X1597:X1604)</f>
        <v>#REF!</v>
      </c>
      <c r="Y1596" s="575"/>
      <c r="Z1596" s="575"/>
      <c r="AA1596" s="575"/>
      <c r="AB1596" s="575"/>
      <c r="AC1596" s="575"/>
      <c r="AD1596" s="177">
        <f t="shared" si="172"/>
        <v>196800</v>
      </c>
      <c r="AE1596" s="188">
        <f t="shared" si="172"/>
        <v>0</v>
      </c>
      <c r="AF1596" s="189">
        <f t="shared" si="172"/>
        <v>0</v>
      </c>
      <c r="AG1596" s="206">
        <f t="shared" si="172"/>
        <v>196800</v>
      </c>
      <c r="AH1596" s="160" t="e">
        <f t="shared" si="170"/>
        <v>#REF!</v>
      </c>
    </row>
    <row r="1597" spans="8:34" hidden="1">
      <c r="H1597" s="2909"/>
      <c r="I1597" s="2909"/>
      <c r="J1597" s="2909"/>
      <c r="K1597" s="2909"/>
      <c r="L1597" s="2910"/>
      <c r="M1597" s="2910"/>
      <c r="N1597" s="2910"/>
      <c r="O1597" s="2910"/>
      <c r="P1597" s="2911"/>
      <c r="Q1597" s="1260"/>
      <c r="R1597" s="2216"/>
      <c r="S1597" s="1260"/>
      <c r="T1597" s="446"/>
      <c r="U1597" s="70"/>
      <c r="V1597" s="70"/>
      <c r="W1597" s="70"/>
      <c r="X1597" s="153" t="e">
        <f>SUM(#REF!)</f>
        <v>#REF!</v>
      </c>
      <c r="Y1597" s="679"/>
      <c r="Z1597" s="679"/>
      <c r="AA1597" s="679"/>
      <c r="AB1597" s="679"/>
      <c r="AC1597" s="679"/>
      <c r="AD1597" s="181">
        <v>1000</v>
      </c>
      <c r="AE1597" s="147"/>
      <c r="AF1597" s="162"/>
      <c r="AG1597" s="153">
        <f t="shared" ref="AG1597:AG1603" si="173">SUM(AD1597:AF1597)</f>
        <v>1000</v>
      </c>
      <c r="AH1597" s="160" t="e">
        <f t="shared" si="170"/>
        <v>#REF!</v>
      </c>
    </row>
    <row r="1598" spans="8:34" hidden="1">
      <c r="H1598" s="2924"/>
      <c r="I1598" s="2924"/>
      <c r="J1598" s="2924"/>
      <c r="K1598" s="2924"/>
      <c r="L1598" s="2925"/>
      <c r="M1598" s="2925"/>
      <c r="N1598" s="2925"/>
      <c r="O1598" s="2925"/>
      <c r="P1598" s="2926"/>
      <c r="Q1598" s="1748"/>
      <c r="R1598" s="2221"/>
      <c r="S1598" s="1748"/>
      <c r="T1598" s="679"/>
      <c r="U1598" s="53"/>
      <c r="V1598" s="53"/>
      <c r="W1598" s="53"/>
      <c r="X1598" s="153" t="e">
        <f>SUM(#REF!)</f>
        <v>#REF!</v>
      </c>
      <c r="Y1598" s="679"/>
      <c r="Z1598" s="679"/>
      <c r="AA1598" s="679"/>
      <c r="AB1598" s="679"/>
      <c r="AC1598" s="679"/>
      <c r="AD1598" s="181">
        <v>50000</v>
      </c>
      <c r="AE1598" s="151"/>
      <c r="AF1598" s="163"/>
      <c r="AG1598" s="153">
        <f t="shared" si="173"/>
        <v>50000</v>
      </c>
      <c r="AH1598" s="160" t="e">
        <f t="shared" si="170"/>
        <v>#REF!</v>
      </c>
    </row>
    <row r="1599" spans="8:34" hidden="1">
      <c r="H1599" s="2924"/>
      <c r="I1599" s="2924"/>
      <c r="J1599" s="2924"/>
      <c r="K1599" s="2924"/>
      <c r="L1599" s="2925"/>
      <c r="M1599" s="2925"/>
      <c r="N1599" s="2925"/>
      <c r="O1599" s="2925"/>
      <c r="P1599" s="2926"/>
      <c r="Q1599" s="1748"/>
      <c r="R1599" s="2221"/>
      <c r="S1599" s="1748"/>
      <c r="T1599" s="679"/>
      <c r="U1599" s="53"/>
      <c r="V1599" s="53"/>
      <c r="W1599" s="53"/>
      <c r="X1599" s="153" t="e">
        <f>SUM(#REF!)</f>
        <v>#REF!</v>
      </c>
      <c r="Y1599" s="679"/>
      <c r="Z1599" s="679"/>
      <c r="AA1599" s="679"/>
      <c r="AB1599" s="679"/>
      <c r="AC1599" s="679"/>
      <c r="AD1599" s="181">
        <v>30000</v>
      </c>
      <c r="AE1599" s="151"/>
      <c r="AF1599" s="163"/>
      <c r="AG1599" s="153">
        <f t="shared" si="173"/>
        <v>30000</v>
      </c>
      <c r="AH1599" s="160" t="e">
        <f t="shared" si="170"/>
        <v>#REF!</v>
      </c>
    </row>
    <row r="1600" spans="8:34" hidden="1">
      <c r="H1600" s="2924"/>
      <c r="I1600" s="2924"/>
      <c r="J1600" s="2924"/>
      <c r="K1600" s="2924"/>
      <c r="L1600" s="2925"/>
      <c r="M1600" s="2925"/>
      <c r="N1600" s="2925"/>
      <c r="O1600" s="2925"/>
      <c r="P1600" s="2926"/>
      <c r="Q1600" s="1748"/>
      <c r="R1600" s="2221"/>
      <c r="S1600" s="1748"/>
      <c r="T1600" s="679"/>
      <c r="U1600" s="53"/>
      <c r="V1600" s="53"/>
      <c r="W1600" s="53"/>
      <c r="X1600" s="153" t="e">
        <f>SUM(#REF!)</f>
        <v>#REF!</v>
      </c>
      <c r="Y1600" s="679"/>
      <c r="Z1600" s="679"/>
      <c r="AA1600" s="679"/>
      <c r="AB1600" s="679"/>
      <c r="AC1600" s="679"/>
      <c r="AD1600" s="181">
        <v>15000</v>
      </c>
      <c r="AE1600" s="151"/>
      <c r="AF1600" s="163"/>
      <c r="AG1600" s="153">
        <f t="shared" si="173"/>
        <v>15000</v>
      </c>
      <c r="AH1600" s="160" t="e">
        <f t="shared" si="170"/>
        <v>#REF!</v>
      </c>
    </row>
    <row r="1601" spans="8:34" hidden="1">
      <c r="H1601" s="2924"/>
      <c r="I1601" s="2924"/>
      <c r="J1601" s="2924"/>
      <c r="K1601" s="2924"/>
      <c r="L1601" s="2925"/>
      <c r="M1601" s="2925"/>
      <c r="N1601" s="2925"/>
      <c r="O1601" s="2925"/>
      <c r="P1601" s="2926"/>
      <c r="Q1601" s="1748"/>
      <c r="R1601" s="2221"/>
      <c r="S1601" s="1748"/>
      <c r="T1601" s="679"/>
      <c r="U1601" s="53"/>
      <c r="V1601" s="53"/>
      <c r="W1601" s="53"/>
      <c r="X1601" s="153" t="e">
        <f>SUM(#REF!)</f>
        <v>#REF!</v>
      </c>
      <c r="Y1601" s="679"/>
      <c r="Z1601" s="679"/>
      <c r="AA1601" s="679"/>
      <c r="AB1601" s="679"/>
      <c r="AC1601" s="679"/>
      <c r="AD1601" s="181">
        <v>5000</v>
      </c>
      <c r="AE1601" s="151"/>
      <c r="AF1601" s="163"/>
      <c r="AG1601" s="153">
        <f t="shared" si="173"/>
        <v>5000</v>
      </c>
      <c r="AH1601" s="160" t="e">
        <f t="shared" si="170"/>
        <v>#REF!</v>
      </c>
    </row>
    <row r="1602" spans="8:34" hidden="1">
      <c r="H1602" s="2924"/>
      <c r="I1602" s="2924"/>
      <c r="J1602" s="2924"/>
      <c r="K1602" s="2924"/>
      <c r="L1602" s="2925"/>
      <c r="M1602" s="2925"/>
      <c r="N1602" s="2925"/>
      <c r="O1602" s="2925"/>
      <c r="P1602" s="2926"/>
      <c r="Q1602" s="1748"/>
      <c r="R1602" s="2221"/>
      <c r="S1602" s="1748"/>
      <c r="T1602" s="679"/>
      <c r="U1602" s="53"/>
      <c r="V1602" s="53"/>
      <c r="W1602" s="53"/>
      <c r="X1602" s="153" t="e">
        <f>SUM(#REF!)</f>
        <v>#REF!</v>
      </c>
      <c r="Y1602" s="679"/>
      <c r="Z1602" s="679"/>
      <c r="AA1602" s="679"/>
      <c r="AB1602" s="679"/>
      <c r="AC1602" s="679"/>
      <c r="AD1602" s="181">
        <v>2000</v>
      </c>
      <c r="AE1602" s="151"/>
      <c r="AF1602" s="163"/>
      <c r="AG1602" s="153">
        <f t="shared" si="173"/>
        <v>2000</v>
      </c>
      <c r="AH1602" s="160" t="e">
        <f t="shared" si="170"/>
        <v>#REF!</v>
      </c>
    </row>
    <row r="1603" spans="8:34" hidden="1">
      <c r="H1603" s="2924"/>
      <c r="I1603" s="2924"/>
      <c r="J1603" s="2924"/>
      <c r="K1603" s="2924"/>
      <c r="L1603" s="2925"/>
      <c r="M1603" s="2925"/>
      <c r="N1603" s="2925"/>
      <c r="O1603" s="2925"/>
      <c r="P1603" s="2926"/>
      <c r="Q1603" s="1748"/>
      <c r="R1603" s="2221"/>
      <c r="S1603" s="1748"/>
      <c r="T1603" s="679"/>
      <c r="U1603" s="53"/>
      <c r="V1603" s="53"/>
      <c r="W1603" s="53"/>
      <c r="X1603" s="153" t="e">
        <f>SUM(#REF!)</f>
        <v>#REF!</v>
      </c>
      <c r="Y1603" s="679"/>
      <c r="Z1603" s="679"/>
      <c r="AA1603" s="679"/>
      <c r="AB1603" s="679"/>
      <c r="AC1603" s="679"/>
      <c r="AD1603" s="181">
        <v>30000</v>
      </c>
      <c r="AE1603" s="151"/>
      <c r="AF1603" s="163"/>
      <c r="AG1603" s="153">
        <f t="shared" si="173"/>
        <v>30000</v>
      </c>
      <c r="AH1603" s="160" t="e">
        <f t="shared" si="170"/>
        <v>#REF!</v>
      </c>
    </row>
    <row r="1604" spans="8:34" hidden="1">
      <c r="H1604" s="2927"/>
      <c r="I1604" s="2927"/>
      <c r="J1604" s="2927"/>
      <c r="K1604" s="2927"/>
      <c r="L1604" s="2928"/>
      <c r="M1604" s="2928"/>
      <c r="N1604" s="2928"/>
      <c r="O1604" s="2928"/>
      <c r="P1604" s="2929"/>
      <c r="Q1604" s="1749"/>
      <c r="R1604" s="2222"/>
      <c r="S1604" s="1749"/>
      <c r="T1604" s="575"/>
      <c r="U1604" s="19"/>
      <c r="V1604" s="19"/>
      <c r="W1604" s="19"/>
      <c r="X1604" s="206" t="e">
        <f t="shared" ref="X1604:AG1604" si="174">SUM(X1605:X1614)</f>
        <v>#REF!</v>
      </c>
      <c r="Y1604" s="575"/>
      <c r="Z1604" s="575"/>
      <c r="AA1604" s="575"/>
      <c r="AB1604" s="575"/>
      <c r="AC1604" s="575"/>
      <c r="AD1604" s="177">
        <f t="shared" si="174"/>
        <v>63800</v>
      </c>
      <c r="AE1604" s="188">
        <f t="shared" si="174"/>
        <v>0</v>
      </c>
      <c r="AF1604" s="189">
        <f t="shared" si="174"/>
        <v>0</v>
      </c>
      <c r="AG1604" s="206">
        <f t="shared" si="174"/>
        <v>63800</v>
      </c>
      <c r="AH1604" s="160" t="e">
        <f t="shared" si="170"/>
        <v>#REF!</v>
      </c>
    </row>
    <row r="1605" spans="8:34" hidden="1">
      <c r="H1605" s="2924"/>
      <c r="I1605" s="2924"/>
      <c r="J1605" s="2924"/>
      <c r="K1605" s="2924"/>
      <c r="L1605" s="2925"/>
      <c r="M1605" s="2925"/>
      <c r="N1605" s="2925"/>
      <c r="O1605" s="2925"/>
      <c r="P1605" s="2926"/>
      <c r="Q1605" s="1748"/>
      <c r="R1605" s="2221"/>
      <c r="S1605" s="1748"/>
      <c r="T1605" s="679"/>
      <c r="U1605" s="53"/>
      <c r="V1605" s="53"/>
      <c r="W1605" s="53"/>
      <c r="X1605" s="153" t="e">
        <f>SUM(#REF!)</f>
        <v>#REF!</v>
      </c>
      <c r="Y1605" s="679"/>
      <c r="Z1605" s="679"/>
      <c r="AA1605" s="679"/>
      <c r="AB1605" s="679"/>
      <c r="AC1605" s="679"/>
      <c r="AD1605" s="179">
        <v>3000</v>
      </c>
      <c r="AE1605" s="147"/>
      <c r="AF1605" s="163"/>
      <c r="AG1605" s="153">
        <f t="shared" ref="AG1605:AG1614" si="175">SUM(AD1605:AF1605)</f>
        <v>3000</v>
      </c>
      <c r="AH1605" s="160" t="e">
        <f t="shared" si="170"/>
        <v>#REF!</v>
      </c>
    </row>
    <row r="1606" spans="8:34" hidden="1">
      <c r="H1606" s="2924"/>
      <c r="I1606" s="2924"/>
      <c r="J1606" s="2924"/>
      <c r="K1606" s="2924"/>
      <c r="L1606" s="2925"/>
      <c r="M1606" s="2925"/>
      <c r="N1606" s="2925"/>
      <c r="O1606" s="2925"/>
      <c r="P1606" s="2926"/>
      <c r="Q1606" s="1748"/>
      <c r="R1606" s="2221"/>
      <c r="S1606" s="1748"/>
      <c r="T1606" s="679"/>
      <c r="U1606" s="53"/>
      <c r="V1606" s="53"/>
      <c r="W1606" s="53"/>
      <c r="X1606" s="153" t="e">
        <f>SUM(#REF!)</f>
        <v>#REF!</v>
      </c>
      <c r="Y1606" s="679"/>
      <c r="Z1606" s="679"/>
      <c r="AA1606" s="679"/>
      <c r="AB1606" s="679"/>
      <c r="AC1606" s="679"/>
      <c r="AD1606" s="179">
        <v>45000</v>
      </c>
      <c r="AE1606" s="151"/>
      <c r="AF1606" s="163"/>
      <c r="AG1606" s="153">
        <f t="shared" si="175"/>
        <v>45000</v>
      </c>
      <c r="AH1606" s="160" t="e">
        <f t="shared" si="170"/>
        <v>#REF!</v>
      </c>
    </row>
    <row r="1607" spans="8:34" hidden="1">
      <c r="H1607" s="2924"/>
      <c r="I1607" s="2924"/>
      <c r="J1607" s="2924"/>
      <c r="K1607" s="2924"/>
      <c r="L1607" s="2925"/>
      <c r="M1607" s="2925"/>
      <c r="N1607" s="2925"/>
      <c r="O1607" s="2925"/>
      <c r="P1607" s="2926"/>
      <c r="Q1607" s="1748"/>
      <c r="R1607" s="2221"/>
      <c r="S1607" s="1748"/>
      <c r="T1607" s="679"/>
      <c r="U1607" s="53"/>
      <c r="V1607" s="53"/>
      <c r="W1607" s="53"/>
      <c r="X1607" s="153" t="e">
        <f>SUM(#REF!)</f>
        <v>#REF!</v>
      </c>
      <c r="Y1607" s="679"/>
      <c r="Z1607" s="679"/>
      <c r="AA1607" s="679"/>
      <c r="AB1607" s="679"/>
      <c r="AC1607" s="679"/>
      <c r="AD1607" s="179">
        <v>1500</v>
      </c>
      <c r="AE1607" s="151"/>
      <c r="AF1607" s="163"/>
      <c r="AG1607" s="153">
        <f t="shared" si="175"/>
        <v>1500</v>
      </c>
      <c r="AH1607" s="160" t="e">
        <f t="shared" si="170"/>
        <v>#REF!</v>
      </c>
    </row>
    <row r="1608" spans="8:34" hidden="1">
      <c r="H1608" s="2924"/>
      <c r="I1608" s="2924"/>
      <c r="J1608" s="2924"/>
      <c r="K1608" s="2924"/>
      <c r="L1608" s="2925"/>
      <c r="M1608" s="2925"/>
      <c r="N1608" s="2925"/>
      <c r="O1608" s="2925"/>
      <c r="P1608" s="2926"/>
      <c r="Q1608" s="1748"/>
      <c r="R1608" s="2221"/>
      <c r="S1608" s="1748"/>
      <c r="T1608" s="679"/>
      <c r="U1608" s="53"/>
      <c r="V1608" s="53"/>
      <c r="W1608" s="53"/>
      <c r="X1608" s="153" t="e">
        <f>SUM(#REF!)</f>
        <v>#REF!</v>
      </c>
      <c r="Y1608" s="679"/>
      <c r="Z1608" s="679"/>
      <c r="AA1608" s="679"/>
      <c r="AB1608" s="679"/>
      <c r="AC1608" s="679"/>
      <c r="AD1608" s="179">
        <v>3000</v>
      </c>
      <c r="AE1608" s="151"/>
      <c r="AF1608" s="163"/>
      <c r="AG1608" s="153">
        <f t="shared" si="175"/>
        <v>3000</v>
      </c>
      <c r="AH1608" s="160" t="e">
        <f t="shared" si="170"/>
        <v>#REF!</v>
      </c>
    </row>
    <row r="1609" spans="8:34" hidden="1">
      <c r="H1609" s="2924"/>
      <c r="I1609" s="2924"/>
      <c r="J1609" s="2924"/>
      <c r="K1609" s="2924"/>
      <c r="L1609" s="2925"/>
      <c r="M1609" s="2925"/>
      <c r="N1609" s="2925"/>
      <c r="O1609" s="2925"/>
      <c r="P1609" s="2926"/>
      <c r="Q1609" s="1748"/>
      <c r="R1609" s="2221"/>
      <c r="S1609" s="1748"/>
      <c r="T1609" s="679"/>
      <c r="U1609" s="53"/>
      <c r="V1609" s="53"/>
      <c r="W1609" s="53"/>
      <c r="X1609" s="153" t="e">
        <f>SUM(#REF!)</f>
        <v>#REF!</v>
      </c>
      <c r="Y1609" s="679"/>
      <c r="Z1609" s="679"/>
      <c r="AA1609" s="679"/>
      <c r="AB1609" s="679"/>
      <c r="AC1609" s="679"/>
      <c r="AD1609" s="179">
        <v>2000</v>
      </c>
      <c r="AE1609" s="151"/>
      <c r="AF1609" s="163"/>
      <c r="AG1609" s="153">
        <f t="shared" si="175"/>
        <v>2000</v>
      </c>
      <c r="AH1609" s="160" t="e">
        <f t="shared" si="170"/>
        <v>#REF!</v>
      </c>
    </row>
    <row r="1610" spans="8:34" hidden="1">
      <c r="H1610" s="2924"/>
      <c r="I1610" s="2924"/>
      <c r="J1610" s="2924"/>
      <c r="K1610" s="2924"/>
      <c r="L1610" s="2925"/>
      <c r="M1610" s="2925"/>
      <c r="N1610" s="2925"/>
      <c r="O1610" s="2925"/>
      <c r="P1610" s="2926"/>
      <c r="Q1610" s="1748"/>
      <c r="R1610" s="2221"/>
      <c r="S1610" s="1748"/>
      <c r="T1610" s="679"/>
      <c r="U1610" s="53"/>
      <c r="V1610" s="53"/>
      <c r="W1610" s="53"/>
      <c r="X1610" s="153"/>
      <c r="Y1610" s="679"/>
      <c r="Z1610" s="679"/>
      <c r="AA1610" s="679"/>
      <c r="AB1610" s="679"/>
      <c r="AC1610" s="679"/>
      <c r="AD1610" s="179"/>
      <c r="AE1610" s="151"/>
      <c r="AF1610" s="163"/>
      <c r="AG1610" s="153"/>
      <c r="AH1610" s="160"/>
    </row>
    <row r="1611" spans="8:34" hidden="1">
      <c r="H1611" s="2924"/>
      <c r="I1611" s="2924"/>
      <c r="J1611" s="2924"/>
      <c r="K1611" s="2924"/>
      <c r="L1611" s="2925"/>
      <c r="M1611" s="2925"/>
      <c r="N1611" s="2925"/>
      <c r="O1611" s="2925"/>
      <c r="P1611" s="2926"/>
      <c r="Q1611" s="1748"/>
      <c r="R1611" s="2221"/>
      <c r="S1611" s="1748"/>
      <c r="T1611" s="679"/>
      <c r="U1611" s="53"/>
      <c r="V1611" s="53"/>
      <c r="W1611" s="53"/>
      <c r="X1611" s="153" t="e">
        <f>SUM(#REF!)</f>
        <v>#REF!</v>
      </c>
      <c r="Y1611" s="679"/>
      <c r="Z1611" s="679"/>
      <c r="AA1611" s="679"/>
      <c r="AB1611" s="679"/>
      <c r="AC1611" s="679"/>
      <c r="AD1611" s="181">
        <v>800</v>
      </c>
      <c r="AE1611" s="151"/>
      <c r="AF1611" s="163"/>
      <c r="AG1611" s="153">
        <f t="shared" si="175"/>
        <v>800</v>
      </c>
      <c r="AH1611" s="160" t="e">
        <f>AG1611/X1611*100</f>
        <v>#REF!</v>
      </c>
    </row>
    <row r="1612" spans="8:34" hidden="1">
      <c r="H1612" s="2924"/>
      <c r="I1612" s="2924"/>
      <c r="J1612" s="2924"/>
      <c r="K1612" s="2924"/>
      <c r="L1612" s="2925"/>
      <c r="M1612" s="2925"/>
      <c r="N1612" s="2925"/>
      <c r="O1612" s="2925"/>
      <c r="P1612" s="2926"/>
      <c r="Q1612" s="1748"/>
      <c r="R1612" s="2221"/>
      <c r="S1612" s="1748"/>
      <c r="T1612" s="679"/>
      <c r="U1612" s="53"/>
      <c r="V1612" s="53"/>
      <c r="W1612" s="53"/>
      <c r="X1612" s="153"/>
      <c r="Y1612" s="679"/>
      <c r="Z1612" s="679"/>
      <c r="AA1612" s="679"/>
      <c r="AB1612" s="679"/>
      <c r="AC1612" s="679"/>
      <c r="AD1612" s="181"/>
      <c r="AE1612" s="151"/>
      <c r="AF1612" s="163"/>
      <c r="AG1612" s="153"/>
      <c r="AH1612" s="160"/>
    </row>
    <row r="1613" spans="8:34" hidden="1">
      <c r="H1613" s="2924"/>
      <c r="I1613" s="2924"/>
      <c r="J1613" s="2924"/>
      <c r="K1613" s="2924"/>
      <c r="L1613" s="2925"/>
      <c r="M1613" s="2925"/>
      <c r="N1613" s="2925"/>
      <c r="O1613" s="2925"/>
      <c r="P1613" s="2926"/>
      <c r="Q1613" s="1748"/>
      <c r="R1613" s="2221"/>
      <c r="S1613" s="1748"/>
      <c r="T1613" s="679"/>
      <c r="U1613" s="53"/>
      <c r="V1613" s="53"/>
      <c r="W1613" s="53"/>
      <c r="X1613" s="153"/>
      <c r="Y1613" s="679"/>
      <c r="Z1613" s="679"/>
      <c r="AA1613" s="679"/>
      <c r="AB1613" s="679"/>
      <c r="AC1613" s="679"/>
      <c r="AD1613" s="181">
        <v>4000</v>
      </c>
      <c r="AE1613" s="151"/>
      <c r="AF1613" s="163"/>
      <c r="AG1613" s="153">
        <f t="shared" si="175"/>
        <v>4000</v>
      </c>
      <c r="AH1613" s="160"/>
    </row>
    <row r="1614" spans="8:34" hidden="1">
      <c r="H1614" s="2924"/>
      <c r="I1614" s="2924"/>
      <c r="J1614" s="2924"/>
      <c r="K1614" s="2924"/>
      <c r="L1614" s="2925"/>
      <c r="M1614" s="2925"/>
      <c r="N1614" s="2925"/>
      <c r="O1614" s="2925"/>
      <c r="P1614" s="2926"/>
      <c r="Q1614" s="1748"/>
      <c r="R1614" s="2221"/>
      <c r="S1614" s="1748"/>
      <c r="T1614" s="679"/>
      <c r="U1614" s="53"/>
      <c r="V1614" s="53"/>
      <c r="W1614" s="53"/>
      <c r="X1614" s="153" t="e">
        <f>SUM(#REF!)</f>
        <v>#REF!</v>
      </c>
      <c r="Y1614" s="679"/>
      <c r="Z1614" s="679"/>
      <c r="AA1614" s="679"/>
      <c r="AB1614" s="679"/>
      <c r="AC1614" s="679"/>
      <c r="AD1614" s="181">
        <v>4500</v>
      </c>
      <c r="AE1614" s="151"/>
      <c r="AF1614" s="163"/>
      <c r="AG1614" s="153">
        <f t="shared" si="175"/>
        <v>4500</v>
      </c>
      <c r="AH1614" s="160" t="e">
        <f>AG1614/X1614*100</f>
        <v>#REF!</v>
      </c>
    </row>
    <row r="1615" spans="8:34" hidden="1">
      <c r="H1615" s="2927"/>
      <c r="I1615" s="2927"/>
      <c r="J1615" s="2927"/>
      <c r="K1615" s="2927"/>
      <c r="L1615" s="2928"/>
      <c r="M1615" s="2928"/>
      <c r="N1615" s="2928"/>
      <c r="O1615" s="2928"/>
      <c r="P1615" s="2929"/>
      <c r="Q1615" s="1749"/>
      <c r="R1615" s="2222"/>
      <c r="S1615" s="1749"/>
      <c r="T1615" s="575"/>
      <c r="U1615" s="19"/>
      <c r="V1615" s="19"/>
      <c r="W1615" s="19"/>
      <c r="X1615" s="206" t="e">
        <f t="shared" ref="X1615:AG1615" si="176">SUM(X1616)</f>
        <v>#REF!</v>
      </c>
      <c r="Y1615" s="575"/>
      <c r="Z1615" s="575"/>
      <c r="AA1615" s="575"/>
      <c r="AB1615" s="575"/>
      <c r="AC1615" s="575"/>
      <c r="AD1615" s="177">
        <f t="shared" si="176"/>
        <v>10000</v>
      </c>
      <c r="AE1615" s="188">
        <f t="shared" si="176"/>
        <v>0</v>
      </c>
      <c r="AF1615" s="189">
        <f t="shared" si="176"/>
        <v>0</v>
      </c>
      <c r="AG1615" s="206">
        <f t="shared" si="176"/>
        <v>10000</v>
      </c>
      <c r="AH1615" s="160" t="e">
        <f>AG1615/X1615*100</f>
        <v>#REF!</v>
      </c>
    </row>
    <row r="1616" spans="8:34" hidden="1">
      <c r="H1616" s="2909"/>
      <c r="I1616" s="2909"/>
      <c r="J1616" s="2909"/>
      <c r="K1616" s="2909"/>
      <c r="L1616" s="2910"/>
      <c r="M1616" s="2910"/>
      <c r="N1616" s="2910"/>
      <c r="O1616" s="2910"/>
      <c r="P1616" s="2911"/>
      <c r="Q1616" s="1260"/>
      <c r="R1616" s="2216"/>
      <c r="S1616" s="1260"/>
      <c r="T1616" s="446"/>
      <c r="U1616" s="70"/>
      <c r="V1616" s="70"/>
      <c r="W1616" s="70"/>
      <c r="X1616" s="153" t="e">
        <f>SUM(#REF!)</f>
        <v>#REF!</v>
      </c>
      <c r="Y1616" s="679"/>
      <c r="Z1616" s="679"/>
      <c r="AA1616" s="679"/>
      <c r="AB1616" s="679"/>
      <c r="AC1616" s="679"/>
      <c r="AD1616" s="181">
        <v>10000</v>
      </c>
      <c r="AE1616" s="147"/>
      <c r="AF1616" s="162"/>
      <c r="AG1616" s="153">
        <f>SUM(AD1616:AF1616)</f>
        <v>10000</v>
      </c>
      <c r="AH1616" s="160" t="e">
        <f>AG1616/X1616*100</f>
        <v>#REF!</v>
      </c>
    </row>
    <row r="1617" spans="8:34" hidden="1">
      <c r="H1617" s="2921"/>
      <c r="I1617" s="2921"/>
      <c r="J1617" s="2921"/>
      <c r="K1617" s="2921"/>
      <c r="L1617" s="2922"/>
      <c r="M1617" s="2922"/>
      <c r="N1617" s="2922"/>
      <c r="O1617" s="2922"/>
      <c r="P1617" s="2923"/>
      <c r="Q1617" s="1511"/>
      <c r="R1617" s="2220"/>
      <c r="S1617" s="1511"/>
      <c r="T1617" s="572"/>
      <c r="U1617" s="12"/>
      <c r="V1617" s="12"/>
      <c r="W1617" s="12"/>
      <c r="X1617" s="174" t="e">
        <f>SUM(X1619,X1628,X1630,X1646,)</f>
        <v>#REF!</v>
      </c>
      <c r="Y1617" s="572"/>
      <c r="Z1617" s="572"/>
      <c r="AA1617" s="572"/>
      <c r="AB1617" s="572"/>
      <c r="AC1617" s="572"/>
      <c r="AD1617" s="175">
        <f>SUM(AD1619,AD1628,AD1630,AD1647)</f>
        <v>440300</v>
      </c>
      <c r="AE1617" s="172">
        <f>SUM(AE1619,AE1628,AE1630,AE1647)</f>
        <v>0</v>
      </c>
      <c r="AF1617" s="173">
        <f>SUM(AF1619,AF1628,AF1630,AF1647)</f>
        <v>0</v>
      </c>
      <c r="AG1617" s="174">
        <f>SUM(AG1619,AG1628,AG1630,AG1646,)</f>
        <v>440300</v>
      </c>
      <c r="AH1617" s="176" t="e">
        <f>AG1617/X1617*100</f>
        <v>#REF!</v>
      </c>
    </row>
    <row r="1618" spans="8:34" hidden="1">
      <c r="H1618" s="2921"/>
      <c r="I1618" s="2921"/>
      <c r="J1618" s="2921"/>
      <c r="K1618" s="2921"/>
      <c r="L1618" s="2922"/>
      <c r="M1618" s="2922"/>
      <c r="N1618" s="2922"/>
      <c r="O1618" s="2922"/>
      <c r="P1618" s="2923"/>
      <c r="Q1618" s="1511"/>
      <c r="R1618" s="2220"/>
      <c r="S1618" s="1511"/>
      <c r="T1618" s="572"/>
      <c r="U1618" s="12"/>
      <c r="V1618" s="12"/>
      <c r="W1618" s="12"/>
      <c r="X1618" s="174"/>
      <c r="Y1618" s="572"/>
      <c r="Z1618" s="572"/>
      <c r="AA1618" s="572"/>
      <c r="AB1618" s="572"/>
      <c r="AC1618" s="572"/>
      <c r="AD1618" s="175">
        <v>11</v>
      </c>
      <c r="AE1618" s="172"/>
      <c r="AF1618" s="173"/>
      <c r="AG1618" s="174"/>
      <c r="AH1618" s="176"/>
    </row>
    <row r="1619" spans="8:34" hidden="1">
      <c r="H1619" s="2903"/>
      <c r="I1619" s="2903"/>
      <c r="J1619" s="2903"/>
      <c r="K1619" s="2903"/>
      <c r="L1619" s="2904"/>
      <c r="M1619" s="2904"/>
      <c r="N1619" s="2904"/>
      <c r="O1619" s="2904"/>
      <c r="P1619" s="2905"/>
      <c r="Q1619" s="1743"/>
      <c r="R1619" s="2214"/>
      <c r="S1619" s="1743"/>
      <c r="T1619" s="1144"/>
      <c r="U1619" s="705"/>
      <c r="V1619" s="705"/>
      <c r="W1619" s="705"/>
      <c r="X1619" s="145" t="e">
        <f>SUM(X1620,X1623)</f>
        <v>#REF!</v>
      </c>
      <c r="Y1619" s="446"/>
      <c r="Z1619" s="446"/>
      <c r="AA1619" s="446"/>
      <c r="AB1619" s="446"/>
      <c r="AC1619" s="446"/>
      <c r="AD1619" s="201">
        <f>SUM(AD1620,AD1623)</f>
        <v>357200</v>
      </c>
      <c r="AE1619" s="202"/>
      <c r="AF1619" s="203"/>
      <c r="AG1619" s="145">
        <f>SUM(AG1620,AG1623)</f>
        <v>357200</v>
      </c>
      <c r="AH1619" s="160" t="e">
        <f t="shared" ref="AH1619:AH1648" si="177">AG1619/X1619*100</f>
        <v>#REF!</v>
      </c>
    </row>
    <row r="1620" spans="8:34" hidden="1">
      <c r="H1620" s="2903"/>
      <c r="I1620" s="2903"/>
      <c r="J1620" s="2903"/>
      <c r="K1620" s="2903"/>
      <c r="L1620" s="2904"/>
      <c r="M1620" s="2904"/>
      <c r="N1620" s="2904"/>
      <c r="O1620" s="2904"/>
      <c r="P1620" s="2905"/>
      <c r="Q1620" s="1743"/>
      <c r="R1620" s="2214"/>
      <c r="S1620" s="1743"/>
      <c r="T1620" s="1144"/>
      <c r="U1620" s="705"/>
      <c r="V1620" s="705"/>
      <c r="W1620" s="705"/>
      <c r="X1620" s="145" t="e">
        <f>SUM(X1621:X1622)</f>
        <v>#REF!</v>
      </c>
      <c r="Y1620" s="446"/>
      <c r="Z1620" s="446"/>
      <c r="AA1620" s="446"/>
      <c r="AB1620" s="446"/>
      <c r="AC1620" s="446"/>
      <c r="AD1620" s="201">
        <f>SUM(AD1621:AD1622)</f>
        <v>325000</v>
      </c>
      <c r="AE1620" s="202"/>
      <c r="AF1620" s="203"/>
      <c r="AG1620" s="145">
        <f>SUM(AG1621:AG1622)</f>
        <v>325000</v>
      </c>
      <c r="AH1620" s="160" t="e">
        <f t="shared" si="177"/>
        <v>#REF!</v>
      </c>
    </row>
    <row r="1621" spans="8:34" hidden="1">
      <c r="H1621" s="2909"/>
      <c r="I1621" s="2909"/>
      <c r="J1621" s="2909"/>
      <c r="K1621" s="2909"/>
      <c r="L1621" s="2910"/>
      <c r="M1621" s="2910"/>
      <c r="N1621" s="2910"/>
      <c r="O1621" s="2910"/>
      <c r="P1621" s="2911"/>
      <c r="Q1621" s="1260"/>
      <c r="R1621" s="2216"/>
      <c r="S1621" s="1260"/>
      <c r="T1621" s="446"/>
      <c r="U1621" s="70"/>
      <c r="V1621" s="70"/>
      <c r="W1621" s="70"/>
      <c r="X1621" s="153" t="e">
        <f>SUM(#REF!)</f>
        <v>#REF!</v>
      </c>
      <c r="Y1621" s="679"/>
      <c r="Z1621" s="679"/>
      <c r="AA1621" s="679"/>
      <c r="AB1621" s="679"/>
      <c r="AC1621" s="679"/>
      <c r="AD1621" s="187">
        <v>220000</v>
      </c>
      <c r="AE1621" s="147"/>
      <c r="AF1621" s="162"/>
      <c r="AG1621" s="153">
        <f>SUM(AD1621:AF1621)</f>
        <v>220000</v>
      </c>
      <c r="AH1621" s="160" t="e">
        <f t="shared" si="177"/>
        <v>#REF!</v>
      </c>
    </row>
    <row r="1622" spans="8:34" hidden="1">
      <c r="H1622" s="2909"/>
      <c r="I1622" s="2909"/>
      <c r="J1622" s="2909"/>
      <c r="K1622" s="2909"/>
      <c r="L1622" s="2910"/>
      <c r="M1622" s="2910"/>
      <c r="N1622" s="2910"/>
      <c r="O1622" s="2910"/>
      <c r="P1622" s="2911"/>
      <c r="Q1622" s="1260"/>
      <c r="R1622" s="2216"/>
      <c r="S1622" s="1260"/>
      <c r="T1622" s="446"/>
      <c r="U1622" s="70"/>
      <c r="V1622" s="70"/>
      <c r="W1622" s="70"/>
      <c r="X1622" s="153" t="e">
        <f>SUM(#REF!)</f>
        <v>#REF!</v>
      </c>
      <c r="Y1622" s="679"/>
      <c r="Z1622" s="679"/>
      <c r="AA1622" s="679"/>
      <c r="AB1622" s="679"/>
      <c r="AC1622" s="679"/>
      <c r="AD1622" s="187">
        <v>105000</v>
      </c>
      <c r="AE1622" s="147"/>
      <c r="AF1622" s="162"/>
      <c r="AG1622" s="153">
        <f>SUM(AD1622:AF1622)</f>
        <v>105000</v>
      </c>
      <c r="AH1622" s="160" t="e">
        <f t="shared" si="177"/>
        <v>#REF!</v>
      </c>
    </row>
    <row r="1623" spans="8:34" hidden="1">
      <c r="H1623" s="2909"/>
      <c r="I1623" s="2909"/>
      <c r="J1623" s="2909"/>
      <c r="K1623" s="2909"/>
      <c r="L1623" s="2910"/>
      <c r="M1623" s="2910"/>
      <c r="N1623" s="2910"/>
      <c r="O1623" s="2910"/>
      <c r="P1623" s="2911"/>
      <c r="Q1623" s="1260"/>
      <c r="R1623" s="2216"/>
      <c r="S1623" s="1260"/>
      <c r="T1623" s="446"/>
      <c r="U1623" s="70"/>
      <c r="V1623" s="70"/>
      <c r="W1623" s="70"/>
      <c r="X1623" s="145" t="e">
        <f>SUM(X1624:X1627)</f>
        <v>#REF!</v>
      </c>
      <c r="Y1623" s="446"/>
      <c r="Z1623" s="446"/>
      <c r="AA1623" s="446"/>
      <c r="AB1623" s="446"/>
      <c r="AC1623" s="446"/>
      <c r="AD1623" s="150">
        <f>SUM(AD1624:AD1627)</f>
        <v>32200</v>
      </c>
      <c r="AE1623" s="147"/>
      <c r="AF1623" s="162"/>
      <c r="AG1623" s="145">
        <f>SUM(AG1624:AG1627)</f>
        <v>32200</v>
      </c>
      <c r="AH1623" s="160" t="e">
        <f t="shared" si="177"/>
        <v>#REF!</v>
      </c>
    </row>
    <row r="1624" spans="8:34" hidden="1">
      <c r="H1624" s="2909"/>
      <c r="I1624" s="2909"/>
      <c r="J1624" s="2909"/>
      <c r="K1624" s="2909"/>
      <c r="L1624" s="2910"/>
      <c r="M1624" s="2910"/>
      <c r="N1624" s="2910"/>
      <c r="O1624" s="2910"/>
      <c r="P1624" s="2911"/>
      <c r="Q1624" s="1260"/>
      <c r="R1624" s="2216"/>
      <c r="S1624" s="1260"/>
      <c r="T1624" s="446"/>
      <c r="U1624" s="70"/>
      <c r="V1624" s="70"/>
      <c r="W1624" s="70"/>
      <c r="X1624" s="153" t="e">
        <f>SUM(#REF!)</f>
        <v>#REF!</v>
      </c>
      <c r="Y1624" s="679"/>
      <c r="Z1624" s="679"/>
      <c r="AA1624" s="679"/>
      <c r="AB1624" s="679"/>
      <c r="AC1624" s="679"/>
      <c r="AD1624" s="181">
        <v>3200</v>
      </c>
      <c r="AE1624" s="147"/>
      <c r="AF1624" s="162"/>
      <c r="AG1624" s="153">
        <f>SUM(AD1624:AF1624)</f>
        <v>3200</v>
      </c>
      <c r="AH1624" s="160" t="e">
        <f t="shared" si="177"/>
        <v>#REF!</v>
      </c>
    </row>
    <row r="1625" spans="8:34" hidden="1">
      <c r="H1625" s="2909"/>
      <c r="I1625" s="2909"/>
      <c r="J1625" s="2909"/>
      <c r="K1625" s="2909"/>
      <c r="L1625" s="2910"/>
      <c r="M1625" s="2910"/>
      <c r="N1625" s="2910"/>
      <c r="O1625" s="2910"/>
      <c r="P1625" s="2911"/>
      <c r="Q1625" s="1260"/>
      <c r="R1625" s="2216"/>
      <c r="S1625" s="1260"/>
      <c r="T1625" s="446"/>
      <c r="U1625" s="70"/>
      <c r="V1625" s="70"/>
      <c r="W1625" s="70"/>
      <c r="X1625" s="153" t="e">
        <f>SUM(#REF!)</f>
        <v>#REF!</v>
      </c>
      <c r="Y1625" s="679"/>
      <c r="Z1625" s="679"/>
      <c r="AA1625" s="679"/>
      <c r="AB1625" s="679"/>
      <c r="AC1625" s="679"/>
      <c r="AD1625" s="181">
        <v>17000</v>
      </c>
      <c r="AE1625" s="147"/>
      <c r="AF1625" s="162"/>
      <c r="AG1625" s="153">
        <f>SUM(AD1625:AF1625)</f>
        <v>17000</v>
      </c>
      <c r="AH1625" s="160" t="e">
        <f t="shared" si="177"/>
        <v>#REF!</v>
      </c>
    </row>
    <row r="1626" spans="8:34" hidden="1">
      <c r="H1626" s="2909"/>
      <c r="I1626" s="2909"/>
      <c r="J1626" s="2909"/>
      <c r="K1626" s="2909"/>
      <c r="L1626" s="2910"/>
      <c r="M1626" s="2910"/>
      <c r="N1626" s="2910"/>
      <c r="O1626" s="2910"/>
      <c r="P1626" s="2911"/>
      <c r="Q1626" s="1260"/>
      <c r="R1626" s="2216"/>
      <c r="S1626" s="1260"/>
      <c r="T1626" s="446"/>
      <c r="U1626" s="70"/>
      <c r="V1626" s="70"/>
      <c r="W1626" s="70"/>
      <c r="X1626" s="153" t="e">
        <f>SUM(#REF!)</f>
        <v>#REF!</v>
      </c>
      <c r="Y1626" s="679"/>
      <c r="Z1626" s="679"/>
      <c r="AA1626" s="679"/>
      <c r="AB1626" s="679"/>
      <c r="AC1626" s="679"/>
      <c r="AD1626" s="181">
        <v>6000</v>
      </c>
      <c r="AE1626" s="147"/>
      <c r="AF1626" s="162"/>
      <c r="AG1626" s="153">
        <f>SUM(AD1626:AF1626)</f>
        <v>6000</v>
      </c>
      <c r="AH1626" s="160" t="e">
        <f t="shared" si="177"/>
        <v>#REF!</v>
      </c>
    </row>
    <row r="1627" spans="8:34" hidden="1">
      <c r="H1627" s="2909"/>
      <c r="I1627" s="2909"/>
      <c r="J1627" s="2909"/>
      <c r="K1627" s="2909"/>
      <c r="L1627" s="2910"/>
      <c r="M1627" s="2910"/>
      <c r="N1627" s="2910"/>
      <c r="O1627" s="2910"/>
      <c r="P1627" s="2911"/>
      <c r="Q1627" s="1260"/>
      <c r="R1627" s="2216"/>
      <c r="S1627" s="1260"/>
      <c r="T1627" s="446"/>
      <c r="U1627" s="70"/>
      <c r="V1627" s="70"/>
      <c r="W1627" s="70"/>
      <c r="X1627" s="153" t="e">
        <f>SUM(#REF!)</f>
        <v>#REF!</v>
      </c>
      <c r="Y1627" s="679"/>
      <c r="Z1627" s="679"/>
      <c r="AA1627" s="679"/>
      <c r="AB1627" s="679"/>
      <c r="AC1627" s="679"/>
      <c r="AD1627" s="181">
        <v>6000</v>
      </c>
      <c r="AE1627" s="147"/>
      <c r="AF1627" s="162"/>
      <c r="AG1627" s="153">
        <f>SUM(AD1627:AF1627)</f>
        <v>6000</v>
      </c>
      <c r="AH1627" s="160" t="e">
        <f t="shared" si="177"/>
        <v>#REF!</v>
      </c>
    </row>
    <row r="1628" spans="8:34" hidden="1">
      <c r="H1628" s="2909"/>
      <c r="I1628" s="2909"/>
      <c r="J1628" s="2909"/>
      <c r="K1628" s="2909"/>
      <c r="L1628" s="2910"/>
      <c r="M1628" s="2910"/>
      <c r="N1628" s="2910"/>
      <c r="O1628" s="2910"/>
      <c r="P1628" s="2911"/>
      <c r="Q1628" s="1260"/>
      <c r="R1628" s="2216"/>
      <c r="S1628" s="1260"/>
      <c r="T1628" s="446"/>
      <c r="U1628" s="70"/>
      <c r="V1628" s="70"/>
      <c r="W1628" s="70"/>
      <c r="X1628" s="145" t="e">
        <f>SUM(X1629)</f>
        <v>#REF!</v>
      </c>
      <c r="Y1628" s="446"/>
      <c r="Z1628" s="446"/>
      <c r="AA1628" s="446"/>
      <c r="AB1628" s="446"/>
      <c r="AC1628" s="446"/>
      <c r="AD1628" s="150">
        <f>SUM(AD1629)</f>
        <v>35000</v>
      </c>
      <c r="AE1628" s="147"/>
      <c r="AF1628" s="162"/>
      <c r="AG1628" s="145">
        <f>SUM(AG1629)</f>
        <v>35000</v>
      </c>
      <c r="AH1628" s="160" t="e">
        <f t="shared" si="177"/>
        <v>#REF!</v>
      </c>
    </row>
    <row r="1629" spans="8:34" hidden="1">
      <c r="H1629" s="2909"/>
      <c r="I1629" s="2909"/>
      <c r="J1629" s="2909"/>
      <c r="K1629" s="2909"/>
      <c r="L1629" s="2910"/>
      <c r="M1629" s="2910"/>
      <c r="N1629" s="2910"/>
      <c r="O1629" s="2910"/>
      <c r="P1629" s="2911"/>
      <c r="Q1629" s="1260"/>
      <c r="R1629" s="2216"/>
      <c r="S1629" s="1260"/>
      <c r="T1629" s="446"/>
      <c r="U1629" s="70"/>
      <c r="V1629" s="70"/>
      <c r="W1629" s="70"/>
      <c r="X1629" s="153" t="e">
        <f>SUM(#REF!)</f>
        <v>#REF!</v>
      </c>
      <c r="Y1629" s="679"/>
      <c r="Z1629" s="679"/>
      <c r="AA1629" s="679"/>
      <c r="AB1629" s="679"/>
      <c r="AC1629" s="679"/>
      <c r="AD1629" s="187">
        <v>35000</v>
      </c>
      <c r="AE1629" s="147"/>
      <c r="AF1629" s="162"/>
      <c r="AG1629" s="153">
        <f>SUM(AD1629:AF1629)</f>
        <v>35000</v>
      </c>
      <c r="AH1629" s="160" t="e">
        <f t="shared" si="177"/>
        <v>#REF!</v>
      </c>
    </row>
    <row r="1630" spans="8:34" hidden="1">
      <c r="H1630" s="2909"/>
      <c r="I1630" s="2909"/>
      <c r="J1630" s="2909"/>
      <c r="K1630" s="2909"/>
      <c r="L1630" s="2910"/>
      <c r="M1630" s="2910"/>
      <c r="N1630" s="2910"/>
      <c r="O1630" s="2910"/>
      <c r="P1630" s="2911"/>
      <c r="Q1630" s="1260"/>
      <c r="R1630" s="2216"/>
      <c r="S1630" s="1260"/>
      <c r="T1630" s="446"/>
      <c r="U1630" s="70"/>
      <c r="V1630" s="70"/>
      <c r="W1630" s="70"/>
      <c r="X1630" s="145" t="e">
        <f>SUM(X1631:X1637)</f>
        <v>#REF!</v>
      </c>
      <c r="Y1630" s="446"/>
      <c r="Z1630" s="446"/>
      <c r="AA1630" s="446"/>
      <c r="AB1630" s="446"/>
      <c r="AC1630" s="446"/>
      <c r="AD1630" s="150">
        <f>SUM(AD1631:AD1637)</f>
        <v>41100</v>
      </c>
      <c r="AE1630" s="147"/>
      <c r="AF1630" s="162"/>
      <c r="AG1630" s="145">
        <f>SUM(AG1631:AG1637)</f>
        <v>41100</v>
      </c>
      <c r="AH1630" s="160" t="e">
        <f t="shared" si="177"/>
        <v>#REF!</v>
      </c>
    </row>
    <row r="1631" spans="8:34" hidden="1">
      <c r="H1631" s="2909"/>
      <c r="I1631" s="2909"/>
      <c r="J1631" s="2909"/>
      <c r="K1631" s="2909"/>
      <c r="L1631" s="2910"/>
      <c r="M1631" s="2910"/>
      <c r="N1631" s="2910"/>
      <c r="O1631" s="2910"/>
      <c r="P1631" s="2911"/>
      <c r="Q1631" s="1260"/>
      <c r="R1631" s="2216"/>
      <c r="S1631" s="1260"/>
      <c r="T1631" s="446"/>
      <c r="U1631" s="70"/>
      <c r="V1631" s="70"/>
      <c r="W1631" s="70"/>
      <c r="X1631" s="153" t="e">
        <f>SUM(#REF!)</f>
        <v>#REF!</v>
      </c>
      <c r="Y1631" s="679"/>
      <c r="Z1631" s="679"/>
      <c r="AA1631" s="679"/>
      <c r="AB1631" s="679"/>
      <c r="AC1631" s="679"/>
      <c r="AD1631" s="181">
        <v>3500</v>
      </c>
      <c r="AE1631" s="147"/>
      <c r="AF1631" s="162"/>
      <c r="AG1631" s="153">
        <f t="shared" ref="AG1631:AG1636" si="178">SUM(AD1631:AF1631)</f>
        <v>3500</v>
      </c>
      <c r="AH1631" s="160" t="e">
        <f t="shared" si="177"/>
        <v>#REF!</v>
      </c>
    </row>
    <row r="1632" spans="8:34" hidden="1">
      <c r="H1632" s="2909"/>
      <c r="I1632" s="2909"/>
      <c r="J1632" s="2909"/>
      <c r="K1632" s="2909"/>
      <c r="L1632" s="2910"/>
      <c r="M1632" s="2910"/>
      <c r="N1632" s="2910"/>
      <c r="O1632" s="2910"/>
      <c r="P1632" s="2911"/>
      <c r="Q1632" s="1260"/>
      <c r="R1632" s="2216"/>
      <c r="S1632" s="1260"/>
      <c r="T1632" s="446"/>
      <c r="U1632" s="70"/>
      <c r="V1632" s="70"/>
      <c r="W1632" s="70"/>
      <c r="X1632" s="153" t="e">
        <f>SUM(#REF!)</f>
        <v>#REF!</v>
      </c>
      <c r="Y1632" s="679"/>
      <c r="Z1632" s="679"/>
      <c r="AA1632" s="679"/>
      <c r="AB1632" s="679"/>
      <c r="AC1632" s="679"/>
      <c r="AD1632" s="181">
        <v>5000</v>
      </c>
      <c r="AE1632" s="147"/>
      <c r="AF1632" s="162"/>
      <c r="AG1632" s="153">
        <f t="shared" si="178"/>
        <v>5000</v>
      </c>
      <c r="AH1632" s="160" t="e">
        <f t="shared" si="177"/>
        <v>#REF!</v>
      </c>
    </row>
    <row r="1633" spans="8:34" hidden="1">
      <c r="H1633" s="2909"/>
      <c r="I1633" s="2909"/>
      <c r="J1633" s="2909"/>
      <c r="K1633" s="2909"/>
      <c r="L1633" s="2910"/>
      <c r="M1633" s="2910"/>
      <c r="N1633" s="2910"/>
      <c r="O1633" s="2910"/>
      <c r="P1633" s="2911"/>
      <c r="Q1633" s="1260"/>
      <c r="R1633" s="2216"/>
      <c r="S1633" s="1260"/>
      <c r="T1633" s="446"/>
      <c r="U1633" s="70"/>
      <c r="V1633" s="70"/>
      <c r="W1633" s="70"/>
      <c r="X1633" s="153" t="e">
        <f>SUM(#REF!)</f>
        <v>#REF!</v>
      </c>
      <c r="Y1633" s="679"/>
      <c r="Z1633" s="679"/>
      <c r="AA1633" s="679"/>
      <c r="AB1633" s="679"/>
      <c r="AC1633" s="679"/>
      <c r="AD1633" s="181">
        <v>8000</v>
      </c>
      <c r="AE1633" s="147"/>
      <c r="AF1633" s="162"/>
      <c r="AG1633" s="153">
        <f t="shared" si="178"/>
        <v>8000</v>
      </c>
      <c r="AH1633" s="160" t="e">
        <f t="shared" si="177"/>
        <v>#REF!</v>
      </c>
    </row>
    <row r="1634" spans="8:34" hidden="1">
      <c r="H1634" s="2909"/>
      <c r="I1634" s="2909"/>
      <c r="J1634" s="2909"/>
      <c r="K1634" s="2909"/>
      <c r="L1634" s="2910"/>
      <c r="M1634" s="2910"/>
      <c r="N1634" s="2910"/>
      <c r="O1634" s="2910"/>
      <c r="P1634" s="2911"/>
      <c r="Q1634" s="1260"/>
      <c r="R1634" s="2216"/>
      <c r="S1634" s="1260"/>
      <c r="T1634" s="446"/>
      <c r="U1634" s="70"/>
      <c r="V1634" s="70"/>
      <c r="W1634" s="70"/>
      <c r="X1634" s="153" t="e">
        <f>SUM(#REF!)</f>
        <v>#REF!</v>
      </c>
      <c r="Y1634" s="679"/>
      <c r="Z1634" s="679"/>
      <c r="AA1634" s="679"/>
      <c r="AB1634" s="679"/>
      <c r="AC1634" s="679"/>
      <c r="AD1634" s="181">
        <v>7000</v>
      </c>
      <c r="AE1634" s="147"/>
      <c r="AF1634" s="162"/>
      <c r="AG1634" s="153">
        <f t="shared" si="178"/>
        <v>7000</v>
      </c>
      <c r="AH1634" s="160" t="e">
        <f t="shared" si="177"/>
        <v>#REF!</v>
      </c>
    </row>
    <row r="1635" spans="8:34" hidden="1">
      <c r="H1635" s="2909"/>
      <c r="I1635" s="2909"/>
      <c r="J1635" s="2909"/>
      <c r="K1635" s="2909"/>
      <c r="L1635" s="2910"/>
      <c r="M1635" s="2910"/>
      <c r="N1635" s="2910"/>
      <c r="O1635" s="2910"/>
      <c r="P1635" s="2911"/>
      <c r="Q1635" s="1260"/>
      <c r="R1635" s="2216"/>
      <c r="S1635" s="1260"/>
      <c r="T1635" s="446"/>
      <c r="U1635" s="70"/>
      <c r="V1635" s="70"/>
      <c r="W1635" s="70"/>
      <c r="X1635" s="153" t="e">
        <f>SUM(#REF!)</f>
        <v>#REF!</v>
      </c>
      <c r="Y1635" s="679"/>
      <c r="Z1635" s="679"/>
      <c r="AA1635" s="679"/>
      <c r="AB1635" s="679"/>
      <c r="AC1635" s="679"/>
      <c r="AD1635" s="181">
        <v>2000</v>
      </c>
      <c r="AE1635" s="147"/>
      <c r="AF1635" s="162"/>
      <c r="AG1635" s="153">
        <f t="shared" si="178"/>
        <v>2000</v>
      </c>
      <c r="AH1635" s="160" t="e">
        <f t="shared" si="177"/>
        <v>#REF!</v>
      </c>
    </row>
    <row r="1636" spans="8:34" hidden="1">
      <c r="H1636" s="2909"/>
      <c r="I1636" s="2909"/>
      <c r="J1636" s="2909"/>
      <c r="K1636" s="2909"/>
      <c r="L1636" s="2910"/>
      <c r="M1636" s="2910"/>
      <c r="N1636" s="2910"/>
      <c r="O1636" s="2910"/>
      <c r="P1636" s="2911"/>
      <c r="Q1636" s="1260"/>
      <c r="R1636" s="2216"/>
      <c r="S1636" s="1260"/>
      <c r="T1636" s="446"/>
      <c r="U1636" s="70"/>
      <c r="V1636" s="70"/>
      <c r="W1636" s="70"/>
      <c r="X1636" s="153" t="e">
        <f>SUM(#REF!)</f>
        <v>#REF!</v>
      </c>
      <c r="Y1636" s="679"/>
      <c r="Z1636" s="679"/>
      <c r="AA1636" s="679"/>
      <c r="AB1636" s="679"/>
      <c r="AC1636" s="679"/>
      <c r="AD1636" s="181">
        <v>7000</v>
      </c>
      <c r="AE1636" s="147"/>
      <c r="AF1636" s="162"/>
      <c r="AG1636" s="153">
        <f t="shared" si="178"/>
        <v>7000</v>
      </c>
      <c r="AH1636" s="160" t="e">
        <f t="shared" si="177"/>
        <v>#REF!</v>
      </c>
    </row>
    <row r="1637" spans="8:34" hidden="1">
      <c r="H1637" s="2909"/>
      <c r="I1637" s="2909"/>
      <c r="J1637" s="2909"/>
      <c r="K1637" s="2909"/>
      <c r="L1637" s="2910"/>
      <c r="M1637" s="2910"/>
      <c r="N1637" s="2910"/>
      <c r="O1637" s="2910"/>
      <c r="P1637" s="2911"/>
      <c r="Q1637" s="1260"/>
      <c r="R1637" s="2216"/>
      <c r="S1637" s="1260"/>
      <c r="T1637" s="446"/>
      <c r="U1637" s="70"/>
      <c r="V1637" s="70"/>
      <c r="W1637" s="70"/>
      <c r="X1637" s="145" t="e">
        <f t="shared" ref="X1637:AG1637" si="179">SUM(X1638:X1645)</f>
        <v>#REF!</v>
      </c>
      <c r="Y1637" s="446"/>
      <c r="Z1637" s="446"/>
      <c r="AA1637" s="446"/>
      <c r="AB1637" s="446"/>
      <c r="AC1637" s="446"/>
      <c r="AD1637" s="150">
        <f t="shared" si="179"/>
        <v>8600</v>
      </c>
      <c r="AE1637" s="147">
        <f t="shared" si="179"/>
        <v>0</v>
      </c>
      <c r="AF1637" s="162">
        <f t="shared" si="179"/>
        <v>0</v>
      </c>
      <c r="AG1637" s="145">
        <f t="shared" si="179"/>
        <v>8600</v>
      </c>
      <c r="AH1637" s="160" t="e">
        <f t="shared" si="177"/>
        <v>#REF!</v>
      </c>
    </row>
    <row r="1638" spans="8:34" hidden="1">
      <c r="H1638" s="2903"/>
      <c r="I1638" s="2903"/>
      <c r="J1638" s="2903"/>
      <c r="K1638" s="2903"/>
      <c r="L1638" s="2904"/>
      <c r="M1638" s="2904"/>
      <c r="N1638" s="2904"/>
      <c r="O1638" s="2904"/>
      <c r="P1638" s="2905"/>
      <c r="Q1638" s="1743"/>
      <c r="R1638" s="2214"/>
      <c r="S1638" s="1743"/>
      <c r="T1638" s="1144"/>
      <c r="U1638" s="705"/>
      <c r="V1638" s="705"/>
      <c r="W1638" s="705"/>
      <c r="X1638" s="153" t="e">
        <f>SUM(#REF!)</f>
        <v>#REF!</v>
      </c>
      <c r="Y1638" s="679"/>
      <c r="Z1638" s="679"/>
      <c r="AA1638" s="679"/>
      <c r="AB1638" s="679"/>
      <c r="AC1638" s="679"/>
      <c r="AD1638" s="205">
        <v>1000</v>
      </c>
      <c r="AE1638" s="202"/>
      <c r="AF1638" s="203"/>
      <c r="AG1638" s="153">
        <f t="shared" ref="AG1638:AG1645" si="180">SUM(AD1638:AF1638)</f>
        <v>1000</v>
      </c>
      <c r="AH1638" s="160" t="e">
        <f t="shared" si="177"/>
        <v>#REF!</v>
      </c>
    </row>
    <row r="1639" spans="8:34" hidden="1">
      <c r="H1639" s="2903"/>
      <c r="I1639" s="2903"/>
      <c r="J1639" s="2903"/>
      <c r="K1639" s="2903"/>
      <c r="L1639" s="2904"/>
      <c r="M1639" s="2904"/>
      <c r="N1639" s="2904"/>
      <c r="O1639" s="2904"/>
      <c r="P1639" s="2905"/>
      <c r="Q1639" s="1743"/>
      <c r="R1639" s="2214"/>
      <c r="S1639" s="1743"/>
      <c r="T1639" s="1144"/>
      <c r="U1639" s="705"/>
      <c r="V1639" s="705"/>
      <c r="W1639" s="705"/>
      <c r="X1639" s="153" t="e">
        <f>SUM(#REF!)</f>
        <v>#REF!</v>
      </c>
      <c r="Y1639" s="679"/>
      <c r="Z1639" s="679"/>
      <c r="AA1639" s="679"/>
      <c r="AB1639" s="679"/>
      <c r="AC1639" s="679"/>
      <c r="AD1639" s="205">
        <v>1000</v>
      </c>
      <c r="AE1639" s="202"/>
      <c r="AF1639" s="203"/>
      <c r="AG1639" s="153">
        <f t="shared" si="180"/>
        <v>1000</v>
      </c>
      <c r="AH1639" s="160" t="e">
        <f t="shared" si="177"/>
        <v>#REF!</v>
      </c>
    </row>
    <row r="1640" spans="8:34" hidden="1">
      <c r="H1640" s="2903"/>
      <c r="I1640" s="2903"/>
      <c r="J1640" s="2903"/>
      <c r="K1640" s="2903"/>
      <c r="L1640" s="2904"/>
      <c r="M1640" s="2904"/>
      <c r="N1640" s="2904"/>
      <c r="O1640" s="2904"/>
      <c r="P1640" s="2905"/>
      <c r="Q1640" s="1743"/>
      <c r="R1640" s="2214"/>
      <c r="S1640" s="1743"/>
      <c r="T1640" s="1144"/>
      <c r="U1640" s="705"/>
      <c r="V1640" s="705"/>
      <c r="W1640" s="705"/>
      <c r="X1640" s="153" t="e">
        <f>SUM(#REF!)</f>
        <v>#REF!</v>
      </c>
      <c r="Y1640" s="679"/>
      <c r="Z1640" s="679"/>
      <c r="AA1640" s="679"/>
      <c r="AB1640" s="679"/>
      <c r="AC1640" s="679"/>
      <c r="AD1640" s="205">
        <v>1500</v>
      </c>
      <c r="AE1640" s="202"/>
      <c r="AF1640" s="203"/>
      <c r="AG1640" s="153">
        <f t="shared" si="180"/>
        <v>1500</v>
      </c>
      <c r="AH1640" s="160" t="e">
        <f t="shared" si="177"/>
        <v>#REF!</v>
      </c>
    </row>
    <row r="1641" spans="8:34" hidden="1">
      <c r="H1641" s="2903"/>
      <c r="I1641" s="2903"/>
      <c r="J1641" s="2903"/>
      <c r="K1641" s="2903"/>
      <c r="L1641" s="2904"/>
      <c r="M1641" s="2904"/>
      <c r="N1641" s="2904"/>
      <c r="O1641" s="2904"/>
      <c r="P1641" s="2905"/>
      <c r="Q1641" s="1743"/>
      <c r="R1641" s="2214"/>
      <c r="S1641" s="1743"/>
      <c r="T1641" s="1144"/>
      <c r="U1641" s="705"/>
      <c r="V1641" s="705"/>
      <c r="W1641" s="705"/>
      <c r="X1641" s="153" t="e">
        <f>SUM(#REF!)</f>
        <v>#REF!</v>
      </c>
      <c r="Y1641" s="679"/>
      <c r="Z1641" s="679"/>
      <c r="AA1641" s="679"/>
      <c r="AB1641" s="679"/>
      <c r="AC1641" s="679"/>
      <c r="AD1641" s="205">
        <v>2200</v>
      </c>
      <c r="AE1641" s="202"/>
      <c r="AF1641" s="203"/>
      <c r="AG1641" s="153">
        <f t="shared" si="180"/>
        <v>2200</v>
      </c>
      <c r="AH1641" s="160" t="e">
        <f t="shared" si="177"/>
        <v>#REF!</v>
      </c>
    </row>
    <row r="1642" spans="8:34" hidden="1">
      <c r="H1642" s="2903"/>
      <c r="I1642" s="2903"/>
      <c r="J1642" s="2903"/>
      <c r="K1642" s="2903"/>
      <c r="L1642" s="2904"/>
      <c r="M1642" s="2904"/>
      <c r="N1642" s="2904"/>
      <c r="O1642" s="2904"/>
      <c r="P1642" s="2905"/>
      <c r="Q1642" s="1743"/>
      <c r="R1642" s="2214"/>
      <c r="S1642" s="1743"/>
      <c r="T1642" s="1144"/>
      <c r="U1642" s="705"/>
      <c r="V1642" s="705"/>
      <c r="W1642" s="705"/>
      <c r="X1642" s="153" t="e">
        <f>SUM(#REF!)</f>
        <v>#REF!</v>
      </c>
      <c r="Y1642" s="679"/>
      <c r="Z1642" s="679"/>
      <c r="AA1642" s="679"/>
      <c r="AB1642" s="679"/>
      <c r="AC1642" s="679"/>
      <c r="AD1642" s="205">
        <v>900</v>
      </c>
      <c r="AE1642" s="202"/>
      <c r="AF1642" s="203"/>
      <c r="AG1642" s="153">
        <f t="shared" si="180"/>
        <v>900</v>
      </c>
      <c r="AH1642" s="160" t="e">
        <f t="shared" si="177"/>
        <v>#REF!</v>
      </c>
    </row>
    <row r="1643" spans="8:34" hidden="1">
      <c r="H1643" s="2903"/>
      <c r="I1643" s="2903"/>
      <c r="J1643" s="2903"/>
      <c r="K1643" s="2903"/>
      <c r="L1643" s="2904"/>
      <c r="M1643" s="2904"/>
      <c r="N1643" s="2904"/>
      <c r="O1643" s="2904"/>
      <c r="P1643" s="2905"/>
      <c r="Q1643" s="1743"/>
      <c r="R1643" s="2214"/>
      <c r="S1643" s="1743"/>
      <c r="T1643" s="1144"/>
      <c r="U1643" s="705"/>
      <c r="V1643" s="705"/>
      <c r="W1643" s="705"/>
      <c r="X1643" s="153" t="e">
        <f>SUM(#REF!)</f>
        <v>#REF!</v>
      </c>
      <c r="Y1643" s="679"/>
      <c r="Z1643" s="679"/>
      <c r="AA1643" s="679"/>
      <c r="AB1643" s="679"/>
      <c r="AC1643" s="679"/>
      <c r="AD1643" s="205">
        <v>1000</v>
      </c>
      <c r="AE1643" s="202"/>
      <c r="AF1643" s="203"/>
      <c r="AG1643" s="153">
        <f t="shared" si="180"/>
        <v>1000</v>
      </c>
      <c r="AH1643" s="160" t="e">
        <f t="shared" si="177"/>
        <v>#REF!</v>
      </c>
    </row>
    <row r="1644" spans="8:34" hidden="1">
      <c r="H1644" s="2903"/>
      <c r="I1644" s="2903"/>
      <c r="J1644" s="2903"/>
      <c r="K1644" s="2903"/>
      <c r="L1644" s="2904"/>
      <c r="M1644" s="2904"/>
      <c r="N1644" s="2904"/>
      <c r="O1644" s="2904"/>
      <c r="P1644" s="2905"/>
      <c r="Q1644" s="1743"/>
      <c r="R1644" s="2214"/>
      <c r="S1644" s="1743"/>
      <c r="T1644" s="1144"/>
      <c r="U1644" s="705"/>
      <c r="V1644" s="705"/>
      <c r="W1644" s="705"/>
      <c r="X1644" s="153" t="e">
        <f>SUM(#REF!)</f>
        <v>#REF!</v>
      </c>
      <c r="Y1644" s="679"/>
      <c r="Z1644" s="679"/>
      <c r="AA1644" s="679"/>
      <c r="AB1644" s="679"/>
      <c r="AC1644" s="679"/>
      <c r="AD1644" s="205">
        <v>500</v>
      </c>
      <c r="AE1644" s="202"/>
      <c r="AF1644" s="203"/>
      <c r="AG1644" s="153">
        <f t="shared" si="180"/>
        <v>500</v>
      </c>
      <c r="AH1644" s="160" t="e">
        <f t="shared" si="177"/>
        <v>#REF!</v>
      </c>
    </row>
    <row r="1645" spans="8:34" hidden="1">
      <c r="H1645" s="2903"/>
      <c r="I1645" s="2903"/>
      <c r="J1645" s="2903"/>
      <c r="K1645" s="2903"/>
      <c r="L1645" s="2904"/>
      <c r="M1645" s="2904"/>
      <c r="N1645" s="2904"/>
      <c r="O1645" s="2904"/>
      <c r="P1645" s="2905"/>
      <c r="Q1645" s="1743"/>
      <c r="R1645" s="2214"/>
      <c r="S1645" s="1743"/>
      <c r="T1645" s="1144"/>
      <c r="U1645" s="705"/>
      <c r="V1645" s="705"/>
      <c r="W1645" s="705"/>
      <c r="X1645" s="153" t="e">
        <f>SUM(#REF!)</f>
        <v>#REF!</v>
      </c>
      <c r="Y1645" s="679"/>
      <c r="Z1645" s="679"/>
      <c r="AA1645" s="679"/>
      <c r="AB1645" s="679"/>
      <c r="AC1645" s="679"/>
      <c r="AD1645" s="205">
        <v>500</v>
      </c>
      <c r="AE1645" s="202"/>
      <c r="AF1645" s="203"/>
      <c r="AG1645" s="153">
        <f t="shared" si="180"/>
        <v>500</v>
      </c>
      <c r="AH1645" s="160" t="e">
        <f t="shared" si="177"/>
        <v>#REF!</v>
      </c>
    </row>
    <row r="1646" spans="8:34" hidden="1">
      <c r="H1646" s="2903"/>
      <c r="I1646" s="2903"/>
      <c r="J1646" s="2903"/>
      <c r="K1646" s="2903"/>
      <c r="L1646" s="2904"/>
      <c r="M1646" s="2904"/>
      <c r="N1646" s="2904"/>
      <c r="O1646" s="2904"/>
      <c r="P1646" s="2905"/>
      <c r="Q1646" s="1743"/>
      <c r="R1646" s="2214"/>
      <c r="S1646" s="1743"/>
      <c r="T1646" s="1144"/>
      <c r="U1646" s="705"/>
      <c r="V1646" s="705"/>
      <c r="W1646" s="705"/>
      <c r="X1646" s="145" t="e">
        <f t="shared" ref="X1646:AG1646" si="181">SUM(X1647)</f>
        <v>#REF!</v>
      </c>
      <c r="Y1646" s="446"/>
      <c r="Z1646" s="446"/>
      <c r="AA1646" s="446"/>
      <c r="AB1646" s="446"/>
      <c r="AC1646" s="446"/>
      <c r="AD1646" s="201">
        <f t="shared" si="181"/>
        <v>7000</v>
      </c>
      <c r="AE1646" s="202">
        <f t="shared" si="181"/>
        <v>0</v>
      </c>
      <c r="AF1646" s="203">
        <f t="shared" si="181"/>
        <v>0</v>
      </c>
      <c r="AG1646" s="145">
        <f t="shared" si="181"/>
        <v>7000</v>
      </c>
      <c r="AH1646" s="160" t="e">
        <f t="shared" si="177"/>
        <v>#REF!</v>
      </c>
    </row>
    <row r="1647" spans="8:34" hidden="1">
      <c r="H1647" s="2903"/>
      <c r="I1647" s="2903"/>
      <c r="J1647" s="2903"/>
      <c r="K1647" s="2903"/>
      <c r="L1647" s="2904"/>
      <c r="M1647" s="2904"/>
      <c r="N1647" s="2904"/>
      <c r="O1647" s="2904"/>
      <c r="P1647" s="2905"/>
      <c r="Q1647" s="1743"/>
      <c r="R1647" s="2214"/>
      <c r="S1647" s="1743"/>
      <c r="T1647" s="1144"/>
      <c r="U1647" s="705"/>
      <c r="V1647" s="705"/>
      <c r="W1647" s="705"/>
      <c r="X1647" s="153" t="e">
        <f>SUM(#REF!)</f>
        <v>#REF!</v>
      </c>
      <c r="Y1647" s="679"/>
      <c r="Z1647" s="679"/>
      <c r="AA1647" s="679"/>
      <c r="AB1647" s="679"/>
      <c r="AC1647" s="679"/>
      <c r="AD1647" s="205">
        <v>7000</v>
      </c>
      <c r="AE1647" s="202"/>
      <c r="AF1647" s="203"/>
      <c r="AG1647" s="153">
        <f>SUM(AD1647:AF1647)</f>
        <v>7000</v>
      </c>
      <c r="AH1647" s="160" t="e">
        <f t="shared" si="177"/>
        <v>#REF!</v>
      </c>
    </row>
    <row r="1648" spans="8:34" hidden="1">
      <c r="H1648" s="2921"/>
      <c r="I1648" s="2921"/>
      <c r="J1648" s="2921"/>
      <c r="K1648" s="2921"/>
      <c r="L1648" s="2922"/>
      <c r="M1648" s="2922"/>
      <c r="N1648" s="2922"/>
      <c r="O1648" s="2922"/>
      <c r="P1648" s="2923"/>
      <c r="Q1648" s="1511"/>
      <c r="R1648" s="2220"/>
      <c r="S1648" s="1511"/>
      <c r="T1648" s="572"/>
      <c r="U1648" s="12"/>
      <c r="V1648" s="12"/>
      <c r="W1648" s="12"/>
      <c r="X1648" s="174" t="e">
        <f>SUM(X1650,X1659,X1661,X1677,)</f>
        <v>#REF!</v>
      </c>
      <c r="Y1648" s="572"/>
      <c r="Z1648" s="572"/>
      <c r="AA1648" s="572"/>
      <c r="AB1648" s="572"/>
      <c r="AC1648" s="572"/>
      <c r="AD1648" s="175">
        <f>SUM(AD1650,AD1659,AD1661,AD1678:AD1684)</f>
        <v>326380</v>
      </c>
      <c r="AE1648" s="172">
        <f>SUM(AE1650,AE1659,AE1661,AE1678:AE1684)</f>
        <v>360000</v>
      </c>
      <c r="AF1648" s="173">
        <f>SUM(AF1650,AF1659,AF1661,AF1678:AF1684)</f>
        <v>0</v>
      </c>
      <c r="AG1648" s="174">
        <f>SUM(AG1650,AG1659,AG1661,AG1677,)</f>
        <v>686380</v>
      </c>
      <c r="AH1648" s="176" t="e">
        <f t="shared" si="177"/>
        <v>#REF!</v>
      </c>
    </row>
    <row r="1649" spans="8:34" hidden="1">
      <c r="H1649" s="2921"/>
      <c r="I1649" s="2921"/>
      <c r="J1649" s="2921"/>
      <c r="K1649" s="2921"/>
      <c r="L1649" s="2922"/>
      <c r="M1649" s="2922"/>
      <c r="N1649" s="2922"/>
      <c r="O1649" s="2922"/>
      <c r="P1649" s="2923"/>
      <c r="Q1649" s="1511"/>
      <c r="R1649" s="2220"/>
      <c r="S1649" s="1511"/>
      <c r="T1649" s="572"/>
      <c r="U1649" s="12"/>
      <c r="V1649" s="12"/>
      <c r="W1649" s="12"/>
      <c r="X1649" s="174"/>
      <c r="Y1649" s="572"/>
      <c r="Z1649" s="572"/>
      <c r="AA1649" s="572"/>
      <c r="AB1649" s="572"/>
      <c r="AC1649" s="572"/>
      <c r="AD1649" s="175">
        <v>9</v>
      </c>
      <c r="AE1649" s="172"/>
      <c r="AF1649" s="173"/>
      <c r="AG1649" s="174"/>
      <c r="AH1649" s="176"/>
    </row>
    <row r="1650" spans="8:34" hidden="1">
      <c r="H1650" s="2903"/>
      <c r="I1650" s="2903"/>
      <c r="J1650" s="2903"/>
      <c r="K1650" s="2903"/>
      <c r="L1650" s="2904"/>
      <c r="M1650" s="2904"/>
      <c r="N1650" s="2904"/>
      <c r="O1650" s="2904"/>
      <c r="P1650" s="2905"/>
      <c r="Q1650" s="1743"/>
      <c r="R1650" s="2214"/>
      <c r="S1650" s="1743"/>
      <c r="T1650" s="1144"/>
      <c r="U1650" s="705"/>
      <c r="V1650" s="705"/>
      <c r="W1650" s="705"/>
      <c r="X1650" s="145" t="e">
        <f t="shared" ref="X1650:AG1650" si="182">SUM(X1651,X1654)</f>
        <v>#REF!</v>
      </c>
      <c r="Y1650" s="446"/>
      <c r="Z1650" s="446"/>
      <c r="AA1650" s="446"/>
      <c r="AB1650" s="446"/>
      <c r="AC1650" s="446"/>
      <c r="AD1650" s="201">
        <f t="shared" si="182"/>
        <v>246630</v>
      </c>
      <c r="AE1650" s="202">
        <f t="shared" si="182"/>
        <v>0</v>
      </c>
      <c r="AF1650" s="203">
        <f t="shared" si="182"/>
        <v>0</v>
      </c>
      <c r="AG1650" s="145">
        <f t="shared" si="182"/>
        <v>246630</v>
      </c>
      <c r="AH1650" s="160" t="e">
        <f t="shared" ref="AH1650:AH1687" si="183">AG1650/X1650*100</f>
        <v>#REF!</v>
      </c>
    </row>
    <row r="1651" spans="8:34" hidden="1">
      <c r="H1651" s="2903"/>
      <c r="I1651" s="2903"/>
      <c r="J1651" s="2903"/>
      <c r="K1651" s="2903"/>
      <c r="L1651" s="2904"/>
      <c r="M1651" s="2904"/>
      <c r="N1651" s="2904"/>
      <c r="O1651" s="2904"/>
      <c r="P1651" s="2905"/>
      <c r="Q1651" s="1743"/>
      <c r="R1651" s="2214"/>
      <c r="S1651" s="1743"/>
      <c r="T1651" s="1144"/>
      <c r="U1651" s="705"/>
      <c r="V1651" s="705"/>
      <c r="W1651" s="705"/>
      <c r="X1651" s="145" t="e">
        <f t="shared" ref="X1651:AG1651" si="184">SUM(X1652:X1653)</f>
        <v>#REF!</v>
      </c>
      <c r="Y1651" s="446"/>
      <c r="Z1651" s="446"/>
      <c r="AA1651" s="446"/>
      <c r="AB1651" s="446"/>
      <c r="AC1651" s="446"/>
      <c r="AD1651" s="201">
        <f t="shared" si="184"/>
        <v>218000</v>
      </c>
      <c r="AE1651" s="202">
        <f t="shared" si="184"/>
        <v>0</v>
      </c>
      <c r="AF1651" s="203">
        <f t="shared" si="184"/>
        <v>0</v>
      </c>
      <c r="AG1651" s="145">
        <f t="shared" si="184"/>
        <v>218000</v>
      </c>
      <c r="AH1651" s="160" t="e">
        <f t="shared" si="183"/>
        <v>#REF!</v>
      </c>
    </row>
    <row r="1652" spans="8:34" hidden="1">
      <c r="H1652" s="2903"/>
      <c r="I1652" s="2903"/>
      <c r="J1652" s="2903"/>
      <c r="K1652" s="2903"/>
      <c r="L1652" s="2904"/>
      <c r="M1652" s="2904"/>
      <c r="N1652" s="2904"/>
      <c r="O1652" s="2904"/>
      <c r="P1652" s="2905"/>
      <c r="Q1652" s="1743"/>
      <c r="R1652" s="2214"/>
      <c r="S1652" s="1743"/>
      <c r="T1652" s="1144"/>
      <c r="U1652" s="705"/>
      <c r="V1652" s="705"/>
      <c r="W1652" s="705"/>
      <c r="X1652" s="153" t="e">
        <f>SUM(#REF!)</f>
        <v>#REF!</v>
      </c>
      <c r="Y1652" s="679"/>
      <c r="Z1652" s="679"/>
      <c r="AA1652" s="679"/>
      <c r="AB1652" s="679"/>
      <c r="AC1652" s="679"/>
      <c r="AD1652" s="205">
        <v>150000</v>
      </c>
      <c r="AE1652" s="202"/>
      <c r="AF1652" s="203"/>
      <c r="AG1652" s="153">
        <f>SUM(AD1652:AF1652)</f>
        <v>150000</v>
      </c>
      <c r="AH1652" s="160" t="e">
        <f t="shared" si="183"/>
        <v>#REF!</v>
      </c>
    </row>
    <row r="1653" spans="8:34" hidden="1">
      <c r="H1653" s="2903"/>
      <c r="I1653" s="2903"/>
      <c r="J1653" s="2903"/>
      <c r="K1653" s="2903"/>
      <c r="L1653" s="2904"/>
      <c r="M1653" s="2904"/>
      <c r="N1653" s="2904"/>
      <c r="O1653" s="2904"/>
      <c r="P1653" s="2905"/>
      <c r="Q1653" s="1743"/>
      <c r="R1653" s="2214"/>
      <c r="S1653" s="1743"/>
      <c r="T1653" s="1144"/>
      <c r="U1653" s="705"/>
      <c r="V1653" s="705"/>
      <c r="W1653" s="705"/>
      <c r="X1653" s="153" t="e">
        <f>SUM(#REF!)</f>
        <v>#REF!</v>
      </c>
      <c r="Y1653" s="679"/>
      <c r="Z1653" s="679"/>
      <c r="AA1653" s="679"/>
      <c r="AB1653" s="679"/>
      <c r="AC1653" s="679"/>
      <c r="AD1653" s="205">
        <v>68000</v>
      </c>
      <c r="AE1653" s="202"/>
      <c r="AF1653" s="203"/>
      <c r="AG1653" s="153">
        <f>SUM(AD1653:AF1653)</f>
        <v>68000</v>
      </c>
      <c r="AH1653" s="160" t="e">
        <f t="shared" si="183"/>
        <v>#REF!</v>
      </c>
    </row>
    <row r="1654" spans="8:34" hidden="1">
      <c r="H1654" s="2909"/>
      <c r="I1654" s="2909"/>
      <c r="J1654" s="2909"/>
      <c r="K1654" s="2909"/>
      <c r="L1654" s="2910"/>
      <c r="M1654" s="2910"/>
      <c r="N1654" s="2910"/>
      <c r="O1654" s="2910"/>
      <c r="P1654" s="2911"/>
      <c r="Q1654" s="1260"/>
      <c r="R1654" s="2216"/>
      <c r="S1654" s="1260"/>
      <c r="T1654" s="446"/>
      <c r="U1654" s="70"/>
      <c r="V1654" s="70"/>
      <c r="W1654" s="70"/>
      <c r="X1654" s="145" t="e">
        <f t="shared" ref="X1654:AG1654" si="185">SUM(X1655:X1658)</f>
        <v>#REF!</v>
      </c>
      <c r="Y1654" s="446"/>
      <c r="Z1654" s="446"/>
      <c r="AA1654" s="446"/>
      <c r="AB1654" s="446"/>
      <c r="AC1654" s="446"/>
      <c r="AD1654" s="150">
        <f t="shared" si="185"/>
        <v>28630</v>
      </c>
      <c r="AE1654" s="147">
        <f t="shared" si="185"/>
        <v>0</v>
      </c>
      <c r="AF1654" s="162">
        <f t="shared" si="185"/>
        <v>0</v>
      </c>
      <c r="AG1654" s="145">
        <f t="shared" si="185"/>
        <v>28630</v>
      </c>
      <c r="AH1654" s="160" t="e">
        <f t="shared" si="183"/>
        <v>#REF!</v>
      </c>
    </row>
    <row r="1655" spans="8:34" hidden="1">
      <c r="H1655" s="2909"/>
      <c r="I1655" s="2909"/>
      <c r="J1655" s="2909"/>
      <c r="K1655" s="2909"/>
      <c r="L1655" s="2910"/>
      <c r="M1655" s="2910"/>
      <c r="N1655" s="2910"/>
      <c r="O1655" s="2910"/>
      <c r="P1655" s="2911"/>
      <c r="Q1655" s="1260"/>
      <c r="R1655" s="2216"/>
      <c r="S1655" s="1260"/>
      <c r="T1655" s="446"/>
      <c r="U1655" s="70"/>
      <c r="V1655" s="70"/>
      <c r="W1655" s="70"/>
      <c r="X1655" s="153" t="e">
        <f>SUM(#REF!)</f>
        <v>#REF!</v>
      </c>
      <c r="Y1655" s="679"/>
      <c r="Z1655" s="679"/>
      <c r="AA1655" s="679"/>
      <c r="AB1655" s="679"/>
      <c r="AC1655" s="679"/>
      <c r="AD1655" s="181">
        <v>2400</v>
      </c>
      <c r="AE1655" s="147"/>
      <c r="AF1655" s="162"/>
      <c r="AG1655" s="153">
        <f>SUM(AD1655:AF1655)</f>
        <v>2400</v>
      </c>
      <c r="AH1655" s="160" t="e">
        <f t="shared" si="183"/>
        <v>#REF!</v>
      </c>
    </row>
    <row r="1656" spans="8:34" hidden="1">
      <c r="H1656" s="2909"/>
      <c r="I1656" s="2909"/>
      <c r="J1656" s="2909"/>
      <c r="K1656" s="2909"/>
      <c r="L1656" s="2910"/>
      <c r="M1656" s="2910"/>
      <c r="N1656" s="2910"/>
      <c r="O1656" s="2910"/>
      <c r="P1656" s="2911"/>
      <c r="Q1656" s="1260"/>
      <c r="R1656" s="2216"/>
      <c r="S1656" s="1260"/>
      <c r="T1656" s="446"/>
      <c r="U1656" s="70"/>
      <c r="V1656" s="70"/>
      <c r="W1656" s="70"/>
      <c r="X1656" s="153" t="e">
        <f>SUM(#REF!)</f>
        <v>#REF!</v>
      </c>
      <c r="Y1656" s="679"/>
      <c r="Z1656" s="679"/>
      <c r="AA1656" s="679"/>
      <c r="AB1656" s="679"/>
      <c r="AC1656" s="679"/>
      <c r="AD1656" s="181">
        <v>16000</v>
      </c>
      <c r="AE1656" s="147"/>
      <c r="AF1656" s="162"/>
      <c r="AG1656" s="153">
        <f>SUM(AD1656:AF1656)</f>
        <v>16000</v>
      </c>
      <c r="AH1656" s="160" t="e">
        <f t="shared" si="183"/>
        <v>#REF!</v>
      </c>
    </row>
    <row r="1657" spans="8:34" hidden="1">
      <c r="H1657" s="2909"/>
      <c r="I1657" s="2909"/>
      <c r="J1657" s="2909"/>
      <c r="K1657" s="2909"/>
      <c r="L1657" s="2910"/>
      <c r="M1657" s="2910"/>
      <c r="N1657" s="2910"/>
      <c r="O1657" s="2910"/>
      <c r="P1657" s="2911"/>
      <c r="Q1657" s="1260"/>
      <c r="R1657" s="2216"/>
      <c r="S1657" s="1260"/>
      <c r="T1657" s="446"/>
      <c r="U1657" s="70"/>
      <c r="V1657" s="70"/>
      <c r="W1657" s="70"/>
      <c r="X1657" s="153" t="e">
        <f>SUM(#REF!)</f>
        <v>#REF!</v>
      </c>
      <c r="Y1657" s="679"/>
      <c r="Z1657" s="679"/>
      <c r="AA1657" s="679"/>
      <c r="AB1657" s="679"/>
      <c r="AC1657" s="679"/>
      <c r="AD1657" s="181">
        <v>4230</v>
      </c>
      <c r="AE1657" s="147"/>
      <c r="AF1657" s="162"/>
      <c r="AG1657" s="153">
        <f>SUM(AD1657:AF1657)</f>
        <v>4230</v>
      </c>
      <c r="AH1657" s="160" t="e">
        <f t="shared" si="183"/>
        <v>#REF!</v>
      </c>
    </row>
    <row r="1658" spans="8:34" hidden="1">
      <c r="H1658" s="2909"/>
      <c r="I1658" s="2909"/>
      <c r="J1658" s="2909"/>
      <c r="K1658" s="2909"/>
      <c r="L1658" s="2910"/>
      <c r="M1658" s="2910"/>
      <c r="N1658" s="2910"/>
      <c r="O1658" s="2910"/>
      <c r="P1658" s="2911"/>
      <c r="Q1658" s="1260"/>
      <c r="R1658" s="2216"/>
      <c r="S1658" s="1260"/>
      <c r="T1658" s="446"/>
      <c r="U1658" s="70"/>
      <c r="V1658" s="70"/>
      <c r="W1658" s="70"/>
      <c r="X1658" s="153" t="e">
        <f>SUM(#REF!)</f>
        <v>#REF!</v>
      </c>
      <c r="Y1658" s="679"/>
      <c r="Z1658" s="679"/>
      <c r="AA1658" s="679"/>
      <c r="AB1658" s="679"/>
      <c r="AC1658" s="679"/>
      <c r="AD1658" s="181">
        <v>6000</v>
      </c>
      <c r="AE1658" s="147"/>
      <c r="AF1658" s="162"/>
      <c r="AG1658" s="153">
        <f>SUM(AD1658:AF1658)</f>
        <v>6000</v>
      </c>
      <c r="AH1658" s="160" t="e">
        <f t="shared" si="183"/>
        <v>#REF!</v>
      </c>
    </row>
    <row r="1659" spans="8:34" hidden="1">
      <c r="H1659" s="2909"/>
      <c r="I1659" s="2909"/>
      <c r="J1659" s="2909"/>
      <c r="K1659" s="2909"/>
      <c r="L1659" s="2910"/>
      <c r="M1659" s="2910"/>
      <c r="N1659" s="2910"/>
      <c r="O1659" s="2910"/>
      <c r="P1659" s="2911"/>
      <c r="Q1659" s="1260"/>
      <c r="R1659" s="2216"/>
      <c r="S1659" s="1260"/>
      <c r="T1659" s="446"/>
      <c r="U1659" s="70"/>
      <c r="V1659" s="70"/>
      <c r="W1659" s="70"/>
      <c r="X1659" s="145" t="e">
        <f>SUM(X1660)</f>
        <v>#REF!</v>
      </c>
      <c r="Y1659" s="446"/>
      <c r="Z1659" s="446"/>
      <c r="AA1659" s="446"/>
      <c r="AB1659" s="446"/>
      <c r="AC1659" s="446"/>
      <c r="AD1659" s="150">
        <f>AD1660</f>
        <v>23000</v>
      </c>
      <c r="AE1659" s="147">
        <f>AE1660</f>
        <v>0</v>
      </c>
      <c r="AF1659" s="162">
        <f>AF1660</f>
        <v>0</v>
      </c>
      <c r="AG1659" s="145">
        <f>SUM(AG1660)</f>
        <v>23000</v>
      </c>
      <c r="AH1659" s="160" t="e">
        <f t="shared" si="183"/>
        <v>#REF!</v>
      </c>
    </row>
    <row r="1660" spans="8:34" hidden="1">
      <c r="H1660" s="2909"/>
      <c r="I1660" s="2909"/>
      <c r="J1660" s="2909"/>
      <c r="K1660" s="2909"/>
      <c r="L1660" s="2910"/>
      <c r="M1660" s="2910"/>
      <c r="N1660" s="2910"/>
      <c r="O1660" s="2910"/>
      <c r="P1660" s="2911"/>
      <c r="Q1660" s="1260"/>
      <c r="R1660" s="2216"/>
      <c r="S1660" s="1260"/>
      <c r="T1660" s="446"/>
      <c r="U1660" s="70"/>
      <c r="V1660" s="70"/>
      <c r="W1660" s="70"/>
      <c r="X1660" s="153" t="e">
        <f>SUM(#REF!)</f>
        <v>#REF!</v>
      </c>
      <c r="Y1660" s="679"/>
      <c r="Z1660" s="679"/>
      <c r="AA1660" s="679"/>
      <c r="AB1660" s="679"/>
      <c r="AC1660" s="679"/>
      <c r="AD1660" s="181">
        <v>23000</v>
      </c>
      <c r="AE1660" s="147"/>
      <c r="AF1660" s="162"/>
      <c r="AG1660" s="153">
        <f>SUM(AD1660:AF1660)</f>
        <v>23000</v>
      </c>
      <c r="AH1660" s="160" t="e">
        <f t="shared" si="183"/>
        <v>#REF!</v>
      </c>
    </row>
    <row r="1661" spans="8:34" hidden="1">
      <c r="H1661" s="2909"/>
      <c r="I1661" s="2909"/>
      <c r="J1661" s="2909"/>
      <c r="K1661" s="2909"/>
      <c r="L1661" s="2910"/>
      <c r="M1661" s="2910"/>
      <c r="N1661" s="2910"/>
      <c r="O1661" s="2910"/>
      <c r="P1661" s="2911"/>
      <c r="Q1661" s="1260"/>
      <c r="R1661" s="2216"/>
      <c r="S1661" s="1260"/>
      <c r="T1661" s="446"/>
      <c r="U1661" s="70"/>
      <c r="V1661" s="70"/>
      <c r="W1661" s="70"/>
      <c r="X1661" s="145" t="e">
        <f t="shared" ref="X1661:AG1661" si="186">SUM(X1662:X1668)</f>
        <v>#REF!</v>
      </c>
      <c r="Y1661" s="446"/>
      <c r="Z1661" s="446"/>
      <c r="AA1661" s="446"/>
      <c r="AB1661" s="446"/>
      <c r="AC1661" s="446"/>
      <c r="AD1661" s="150">
        <f t="shared" si="186"/>
        <v>51750</v>
      </c>
      <c r="AE1661" s="147">
        <f t="shared" si="186"/>
        <v>0</v>
      </c>
      <c r="AF1661" s="162">
        <f t="shared" si="186"/>
        <v>0</v>
      </c>
      <c r="AG1661" s="145">
        <f t="shared" si="186"/>
        <v>51750</v>
      </c>
      <c r="AH1661" s="160" t="e">
        <f t="shared" si="183"/>
        <v>#REF!</v>
      </c>
    </row>
    <row r="1662" spans="8:34" hidden="1">
      <c r="H1662" s="2909"/>
      <c r="I1662" s="2909"/>
      <c r="J1662" s="2909"/>
      <c r="K1662" s="2909"/>
      <c r="L1662" s="2910"/>
      <c r="M1662" s="2910"/>
      <c r="N1662" s="2910"/>
      <c r="O1662" s="2910"/>
      <c r="P1662" s="2911"/>
      <c r="Q1662" s="1260"/>
      <c r="R1662" s="2216"/>
      <c r="S1662" s="1260"/>
      <c r="T1662" s="446"/>
      <c r="U1662" s="70"/>
      <c r="V1662" s="70"/>
      <c r="W1662" s="70"/>
      <c r="X1662" s="153" t="e">
        <f>SUM(#REF!)</f>
        <v>#REF!</v>
      </c>
      <c r="Y1662" s="679"/>
      <c r="Z1662" s="679"/>
      <c r="AA1662" s="679"/>
      <c r="AB1662" s="679"/>
      <c r="AC1662" s="679"/>
      <c r="AD1662" s="181">
        <v>1000</v>
      </c>
      <c r="AE1662" s="147"/>
      <c r="AF1662" s="162"/>
      <c r="AG1662" s="153">
        <f t="shared" ref="AG1662:AG1667" si="187">SUM(AD1662:AF1662)</f>
        <v>1000</v>
      </c>
      <c r="AH1662" s="160" t="e">
        <f t="shared" si="183"/>
        <v>#REF!</v>
      </c>
    </row>
    <row r="1663" spans="8:34" hidden="1">
      <c r="H1663" s="2909"/>
      <c r="I1663" s="2909"/>
      <c r="J1663" s="2909"/>
      <c r="K1663" s="2909"/>
      <c r="L1663" s="2910"/>
      <c r="M1663" s="2910"/>
      <c r="N1663" s="2910"/>
      <c r="O1663" s="2910"/>
      <c r="P1663" s="2911"/>
      <c r="Q1663" s="1260"/>
      <c r="R1663" s="2216"/>
      <c r="S1663" s="1260"/>
      <c r="T1663" s="446"/>
      <c r="U1663" s="70"/>
      <c r="V1663" s="70"/>
      <c r="W1663" s="70"/>
      <c r="X1663" s="153" t="e">
        <f>SUM(#REF!)</f>
        <v>#REF!</v>
      </c>
      <c r="Y1663" s="679"/>
      <c r="Z1663" s="679"/>
      <c r="AA1663" s="679"/>
      <c r="AB1663" s="679"/>
      <c r="AC1663" s="679"/>
      <c r="AD1663" s="181">
        <v>12000</v>
      </c>
      <c r="AE1663" s="147"/>
      <c r="AF1663" s="162"/>
      <c r="AG1663" s="153">
        <f t="shared" si="187"/>
        <v>12000</v>
      </c>
      <c r="AH1663" s="160" t="e">
        <f t="shared" si="183"/>
        <v>#REF!</v>
      </c>
    </row>
    <row r="1664" spans="8:34" hidden="1">
      <c r="H1664" s="2909"/>
      <c r="I1664" s="2909"/>
      <c r="J1664" s="2909"/>
      <c r="K1664" s="2909"/>
      <c r="L1664" s="2910"/>
      <c r="M1664" s="2910"/>
      <c r="N1664" s="2910"/>
      <c r="O1664" s="2910"/>
      <c r="P1664" s="2911"/>
      <c r="Q1664" s="1260"/>
      <c r="R1664" s="2216"/>
      <c r="S1664" s="1260"/>
      <c r="T1664" s="446"/>
      <c r="U1664" s="70"/>
      <c r="V1664" s="70"/>
      <c r="W1664" s="70"/>
      <c r="X1664" s="153" t="e">
        <f>SUM(#REF!)</f>
        <v>#REF!</v>
      </c>
      <c r="Y1664" s="679"/>
      <c r="Z1664" s="679"/>
      <c r="AA1664" s="679"/>
      <c r="AB1664" s="679"/>
      <c r="AC1664" s="679"/>
      <c r="AD1664" s="181">
        <v>8000</v>
      </c>
      <c r="AE1664" s="147"/>
      <c r="AF1664" s="162"/>
      <c r="AG1664" s="153">
        <f t="shared" si="187"/>
        <v>8000</v>
      </c>
      <c r="AH1664" s="160" t="e">
        <f t="shared" si="183"/>
        <v>#REF!</v>
      </c>
    </row>
    <row r="1665" spans="8:34" hidden="1">
      <c r="H1665" s="2909"/>
      <c r="I1665" s="2909"/>
      <c r="J1665" s="2909"/>
      <c r="K1665" s="2909"/>
      <c r="L1665" s="2910"/>
      <c r="M1665" s="2910"/>
      <c r="N1665" s="2910"/>
      <c r="O1665" s="2910"/>
      <c r="P1665" s="2911"/>
      <c r="Q1665" s="1260"/>
      <c r="R1665" s="2216"/>
      <c r="S1665" s="1260"/>
      <c r="T1665" s="446"/>
      <c r="U1665" s="70"/>
      <c r="V1665" s="70"/>
      <c r="W1665" s="70"/>
      <c r="X1665" s="153" t="e">
        <f>SUM(#REF!)</f>
        <v>#REF!</v>
      </c>
      <c r="Y1665" s="679"/>
      <c r="Z1665" s="679"/>
      <c r="AA1665" s="679"/>
      <c r="AB1665" s="679"/>
      <c r="AC1665" s="679"/>
      <c r="AD1665" s="181">
        <v>6500</v>
      </c>
      <c r="AE1665" s="147"/>
      <c r="AF1665" s="162"/>
      <c r="AG1665" s="153">
        <f t="shared" si="187"/>
        <v>6500</v>
      </c>
      <c r="AH1665" s="160" t="e">
        <f t="shared" si="183"/>
        <v>#REF!</v>
      </c>
    </row>
    <row r="1666" spans="8:34" hidden="1">
      <c r="H1666" s="2909"/>
      <c r="I1666" s="2909"/>
      <c r="J1666" s="2909"/>
      <c r="K1666" s="2909"/>
      <c r="L1666" s="2910"/>
      <c r="M1666" s="2910"/>
      <c r="N1666" s="2910"/>
      <c r="O1666" s="2910"/>
      <c r="P1666" s="2911"/>
      <c r="Q1666" s="1260"/>
      <c r="R1666" s="2216"/>
      <c r="S1666" s="1260"/>
      <c r="T1666" s="446"/>
      <c r="U1666" s="70"/>
      <c r="V1666" s="70"/>
      <c r="W1666" s="70"/>
      <c r="X1666" s="153" t="e">
        <f>SUM(#REF!)</f>
        <v>#REF!</v>
      </c>
      <c r="Y1666" s="679"/>
      <c r="Z1666" s="679"/>
      <c r="AA1666" s="679"/>
      <c r="AB1666" s="679"/>
      <c r="AC1666" s="679"/>
      <c r="AD1666" s="181">
        <v>4000</v>
      </c>
      <c r="AE1666" s="147"/>
      <c r="AF1666" s="162"/>
      <c r="AG1666" s="153">
        <f t="shared" si="187"/>
        <v>4000</v>
      </c>
      <c r="AH1666" s="160" t="e">
        <f t="shared" si="183"/>
        <v>#REF!</v>
      </c>
    </row>
    <row r="1667" spans="8:34" hidden="1">
      <c r="H1667" s="2909"/>
      <c r="I1667" s="2909"/>
      <c r="J1667" s="2909"/>
      <c r="K1667" s="2909"/>
      <c r="L1667" s="2910"/>
      <c r="M1667" s="2910"/>
      <c r="N1667" s="2910"/>
      <c r="O1667" s="2910"/>
      <c r="P1667" s="2911"/>
      <c r="Q1667" s="1260"/>
      <c r="R1667" s="2216"/>
      <c r="S1667" s="1260"/>
      <c r="T1667" s="446"/>
      <c r="U1667" s="70"/>
      <c r="V1667" s="70"/>
      <c r="W1667" s="70"/>
      <c r="X1667" s="153" t="e">
        <f>SUM(#REF!)</f>
        <v>#REF!</v>
      </c>
      <c r="Y1667" s="679"/>
      <c r="Z1667" s="679"/>
      <c r="AA1667" s="679"/>
      <c r="AB1667" s="679"/>
      <c r="AC1667" s="679"/>
      <c r="AD1667" s="181">
        <v>4000</v>
      </c>
      <c r="AE1667" s="147"/>
      <c r="AF1667" s="162"/>
      <c r="AG1667" s="153">
        <f t="shared" si="187"/>
        <v>4000</v>
      </c>
      <c r="AH1667" s="160" t="e">
        <f t="shared" si="183"/>
        <v>#REF!</v>
      </c>
    </row>
    <row r="1668" spans="8:34" hidden="1">
      <c r="H1668" s="2909"/>
      <c r="I1668" s="2909"/>
      <c r="J1668" s="2909"/>
      <c r="K1668" s="2909"/>
      <c r="L1668" s="2910"/>
      <c r="M1668" s="2910"/>
      <c r="N1668" s="2910"/>
      <c r="O1668" s="2910"/>
      <c r="P1668" s="2911"/>
      <c r="Q1668" s="1260"/>
      <c r="R1668" s="2216"/>
      <c r="S1668" s="1260"/>
      <c r="T1668" s="446"/>
      <c r="U1668" s="70"/>
      <c r="V1668" s="70"/>
      <c r="W1668" s="70"/>
      <c r="X1668" s="145" t="e">
        <f t="shared" ref="X1668:AG1668" si="188">SUM(X1669:X1676)</f>
        <v>#REF!</v>
      </c>
      <c r="Y1668" s="446"/>
      <c r="Z1668" s="446"/>
      <c r="AA1668" s="446"/>
      <c r="AB1668" s="446"/>
      <c r="AC1668" s="446"/>
      <c r="AD1668" s="150">
        <f t="shared" si="188"/>
        <v>16250</v>
      </c>
      <c r="AE1668" s="147">
        <f t="shared" si="188"/>
        <v>0</v>
      </c>
      <c r="AF1668" s="162">
        <f t="shared" si="188"/>
        <v>0</v>
      </c>
      <c r="AG1668" s="145">
        <f t="shared" si="188"/>
        <v>16250</v>
      </c>
      <c r="AH1668" s="160" t="e">
        <f t="shared" si="183"/>
        <v>#REF!</v>
      </c>
    </row>
    <row r="1669" spans="8:34" hidden="1">
      <c r="H1669" s="2909"/>
      <c r="I1669" s="2909"/>
      <c r="J1669" s="2909"/>
      <c r="K1669" s="2909"/>
      <c r="L1669" s="2910"/>
      <c r="M1669" s="2910"/>
      <c r="N1669" s="2910"/>
      <c r="O1669" s="2910"/>
      <c r="P1669" s="2911"/>
      <c r="Q1669" s="1260"/>
      <c r="R1669" s="2216"/>
      <c r="S1669" s="1260"/>
      <c r="T1669" s="446"/>
      <c r="U1669" s="70"/>
      <c r="V1669" s="70"/>
      <c r="W1669" s="70"/>
      <c r="X1669" s="153" t="e">
        <f>SUM(#REF!)</f>
        <v>#REF!</v>
      </c>
      <c r="Y1669" s="679"/>
      <c r="Z1669" s="679"/>
      <c r="AA1669" s="679"/>
      <c r="AB1669" s="679"/>
      <c r="AC1669" s="679"/>
      <c r="AD1669" s="181">
        <v>800</v>
      </c>
      <c r="AE1669" s="147"/>
      <c r="AF1669" s="162"/>
      <c r="AG1669" s="153">
        <f t="shared" ref="AG1669:AG1676" si="189">SUM(AD1669:AF1669)</f>
        <v>800</v>
      </c>
      <c r="AH1669" s="160" t="e">
        <f t="shared" si="183"/>
        <v>#REF!</v>
      </c>
    </row>
    <row r="1670" spans="8:34" hidden="1">
      <c r="H1670" s="2909"/>
      <c r="I1670" s="2909"/>
      <c r="J1670" s="2909"/>
      <c r="K1670" s="2909"/>
      <c r="L1670" s="2910"/>
      <c r="M1670" s="2910"/>
      <c r="N1670" s="2910"/>
      <c r="O1670" s="2910"/>
      <c r="P1670" s="2911"/>
      <c r="Q1670" s="1260"/>
      <c r="R1670" s="2216"/>
      <c r="S1670" s="1260"/>
      <c r="T1670" s="446"/>
      <c r="U1670" s="70"/>
      <c r="V1670" s="70"/>
      <c r="W1670" s="70"/>
      <c r="X1670" s="153" t="e">
        <f>SUM(#REF!)</f>
        <v>#REF!</v>
      </c>
      <c r="Y1670" s="679"/>
      <c r="Z1670" s="679"/>
      <c r="AA1670" s="679"/>
      <c r="AB1670" s="679"/>
      <c r="AC1670" s="679"/>
      <c r="AD1670" s="181">
        <v>500</v>
      </c>
      <c r="AE1670" s="147"/>
      <c r="AF1670" s="162"/>
      <c r="AG1670" s="153">
        <f t="shared" si="189"/>
        <v>500</v>
      </c>
      <c r="AH1670" s="160" t="e">
        <f t="shared" si="183"/>
        <v>#REF!</v>
      </c>
    </row>
    <row r="1671" spans="8:34" hidden="1">
      <c r="H1671" s="2909"/>
      <c r="I1671" s="2909"/>
      <c r="J1671" s="2909"/>
      <c r="K1671" s="2909"/>
      <c r="L1671" s="2910"/>
      <c r="M1671" s="2910"/>
      <c r="N1671" s="2910"/>
      <c r="O1671" s="2910"/>
      <c r="P1671" s="2911"/>
      <c r="Q1671" s="1260"/>
      <c r="R1671" s="2216"/>
      <c r="S1671" s="1260"/>
      <c r="T1671" s="446"/>
      <c r="U1671" s="70"/>
      <c r="V1671" s="70"/>
      <c r="W1671" s="70"/>
      <c r="X1671" s="153" t="e">
        <f>SUM(#REF!)</f>
        <v>#REF!</v>
      </c>
      <c r="Y1671" s="679"/>
      <c r="Z1671" s="679"/>
      <c r="AA1671" s="679"/>
      <c r="AB1671" s="679"/>
      <c r="AC1671" s="679"/>
      <c r="AD1671" s="181">
        <v>1000</v>
      </c>
      <c r="AE1671" s="147"/>
      <c r="AF1671" s="162"/>
      <c r="AG1671" s="153">
        <f t="shared" si="189"/>
        <v>1000</v>
      </c>
      <c r="AH1671" s="160" t="e">
        <f t="shared" si="183"/>
        <v>#REF!</v>
      </c>
    </row>
    <row r="1672" spans="8:34" hidden="1">
      <c r="H1672" s="2909"/>
      <c r="I1672" s="2909"/>
      <c r="J1672" s="2909"/>
      <c r="K1672" s="2909"/>
      <c r="L1672" s="2910"/>
      <c r="M1672" s="2910"/>
      <c r="N1672" s="2910"/>
      <c r="O1672" s="2910"/>
      <c r="P1672" s="2911"/>
      <c r="Q1672" s="1260"/>
      <c r="R1672" s="2216"/>
      <c r="S1672" s="1260"/>
      <c r="T1672" s="446"/>
      <c r="U1672" s="70"/>
      <c r="V1672" s="70"/>
      <c r="W1672" s="70"/>
      <c r="X1672" s="153" t="e">
        <f>SUM(#REF!)</f>
        <v>#REF!</v>
      </c>
      <c r="Y1672" s="679"/>
      <c r="Z1672" s="679"/>
      <c r="AA1672" s="679"/>
      <c r="AB1672" s="679"/>
      <c r="AC1672" s="679"/>
      <c r="AD1672" s="181">
        <v>5000</v>
      </c>
      <c r="AE1672" s="147"/>
      <c r="AF1672" s="162"/>
      <c r="AG1672" s="153">
        <f t="shared" si="189"/>
        <v>5000</v>
      </c>
      <c r="AH1672" s="160" t="e">
        <f t="shared" si="183"/>
        <v>#REF!</v>
      </c>
    </row>
    <row r="1673" spans="8:34" hidden="1">
      <c r="H1673" s="2909"/>
      <c r="I1673" s="2909"/>
      <c r="J1673" s="2909"/>
      <c r="K1673" s="2909"/>
      <c r="L1673" s="2910"/>
      <c r="M1673" s="2910"/>
      <c r="N1673" s="2910"/>
      <c r="O1673" s="2910"/>
      <c r="P1673" s="2911"/>
      <c r="Q1673" s="1260"/>
      <c r="R1673" s="2216"/>
      <c r="S1673" s="1260"/>
      <c r="T1673" s="446"/>
      <c r="U1673" s="70"/>
      <c r="V1673" s="70"/>
      <c r="W1673" s="70"/>
      <c r="X1673" s="153" t="e">
        <f>SUM(#REF!)</f>
        <v>#REF!</v>
      </c>
      <c r="Y1673" s="679"/>
      <c r="Z1673" s="679"/>
      <c r="AA1673" s="679"/>
      <c r="AB1673" s="679"/>
      <c r="AC1673" s="679"/>
      <c r="AD1673" s="181">
        <v>6500</v>
      </c>
      <c r="AE1673" s="147"/>
      <c r="AF1673" s="162"/>
      <c r="AG1673" s="153">
        <f t="shared" si="189"/>
        <v>6500</v>
      </c>
      <c r="AH1673" s="160" t="e">
        <f t="shared" si="183"/>
        <v>#REF!</v>
      </c>
    </row>
    <row r="1674" spans="8:34" hidden="1">
      <c r="H1674" s="2909"/>
      <c r="I1674" s="2909"/>
      <c r="J1674" s="2909"/>
      <c r="K1674" s="2909"/>
      <c r="L1674" s="2910"/>
      <c r="M1674" s="2910"/>
      <c r="N1674" s="2910"/>
      <c r="O1674" s="2910"/>
      <c r="P1674" s="2911"/>
      <c r="Q1674" s="1260"/>
      <c r="R1674" s="2216"/>
      <c r="S1674" s="1260"/>
      <c r="T1674" s="446"/>
      <c r="U1674" s="70"/>
      <c r="V1674" s="70"/>
      <c r="W1674" s="70"/>
      <c r="X1674" s="153" t="e">
        <f>SUM(#REF!)</f>
        <v>#REF!</v>
      </c>
      <c r="Y1674" s="679"/>
      <c r="Z1674" s="679"/>
      <c r="AA1674" s="679"/>
      <c r="AB1674" s="679"/>
      <c r="AC1674" s="679"/>
      <c r="AD1674" s="181">
        <v>750</v>
      </c>
      <c r="AE1674" s="147"/>
      <c r="AF1674" s="162"/>
      <c r="AG1674" s="153">
        <f t="shared" si="189"/>
        <v>750</v>
      </c>
      <c r="AH1674" s="160" t="e">
        <f t="shared" si="183"/>
        <v>#REF!</v>
      </c>
    </row>
    <row r="1675" spans="8:34" hidden="1">
      <c r="H1675" s="2909"/>
      <c r="I1675" s="2909"/>
      <c r="J1675" s="2909"/>
      <c r="K1675" s="2909"/>
      <c r="L1675" s="2910"/>
      <c r="M1675" s="2910"/>
      <c r="N1675" s="2910"/>
      <c r="O1675" s="2910"/>
      <c r="P1675" s="2911"/>
      <c r="Q1675" s="1260"/>
      <c r="R1675" s="2216"/>
      <c r="S1675" s="1260"/>
      <c r="T1675" s="446"/>
      <c r="U1675" s="70"/>
      <c r="V1675" s="70"/>
      <c r="W1675" s="70"/>
      <c r="X1675" s="153" t="e">
        <f>SUM(#REF!)</f>
        <v>#REF!</v>
      </c>
      <c r="Y1675" s="679"/>
      <c r="Z1675" s="679"/>
      <c r="AA1675" s="679"/>
      <c r="AB1675" s="679"/>
      <c r="AC1675" s="679"/>
      <c r="AD1675" s="181">
        <v>1200</v>
      </c>
      <c r="AE1675" s="147"/>
      <c r="AF1675" s="162"/>
      <c r="AG1675" s="153">
        <f t="shared" si="189"/>
        <v>1200</v>
      </c>
      <c r="AH1675" s="160" t="e">
        <f t="shared" si="183"/>
        <v>#REF!</v>
      </c>
    </row>
    <row r="1676" spans="8:34" hidden="1">
      <c r="H1676" s="2909"/>
      <c r="I1676" s="2909"/>
      <c r="J1676" s="2909"/>
      <c r="K1676" s="2909"/>
      <c r="L1676" s="2910"/>
      <c r="M1676" s="2910"/>
      <c r="N1676" s="2910"/>
      <c r="O1676" s="2910"/>
      <c r="P1676" s="2911"/>
      <c r="Q1676" s="1260"/>
      <c r="R1676" s="2216"/>
      <c r="S1676" s="1260"/>
      <c r="T1676" s="446"/>
      <c r="U1676" s="70"/>
      <c r="V1676" s="70"/>
      <c r="W1676" s="70"/>
      <c r="X1676" s="153" t="e">
        <f>SUM(#REF!)</f>
        <v>#REF!</v>
      </c>
      <c r="Y1676" s="679"/>
      <c r="Z1676" s="679"/>
      <c r="AA1676" s="679"/>
      <c r="AB1676" s="679"/>
      <c r="AC1676" s="679"/>
      <c r="AD1676" s="181">
        <v>500</v>
      </c>
      <c r="AE1676" s="147"/>
      <c r="AF1676" s="162"/>
      <c r="AG1676" s="153">
        <f t="shared" si="189"/>
        <v>500</v>
      </c>
      <c r="AH1676" s="160" t="e">
        <f t="shared" si="183"/>
        <v>#REF!</v>
      </c>
    </row>
    <row r="1677" spans="8:34" hidden="1">
      <c r="H1677" s="2909"/>
      <c r="I1677" s="2909"/>
      <c r="J1677" s="2909"/>
      <c r="K1677" s="2909"/>
      <c r="L1677" s="2910"/>
      <c r="M1677" s="2910"/>
      <c r="N1677" s="2910"/>
      <c r="O1677" s="2910"/>
      <c r="P1677" s="2911"/>
      <c r="Q1677" s="1260"/>
      <c r="R1677" s="2216"/>
      <c r="S1677" s="1260"/>
      <c r="T1677" s="446"/>
      <c r="U1677" s="70"/>
      <c r="V1677" s="70"/>
      <c r="W1677" s="70"/>
      <c r="X1677" s="145" t="e">
        <f t="shared" ref="X1677:AG1677" si="190">SUM(X1678:X1684)</f>
        <v>#REF!</v>
      </c>
      <c r="Y1677" s="446"/>
      <c r="Z1677" s="446"/>
      <c r="AA1677" s="446"/>
      <c r="AB1677" s="446"/>
      <c r="AC1677" s="446"/>
      <c r="AD1677" s="150">
        <f t="shared" si="190"/>
        <v>5000</v>
      </c>
      <c r="AE1677" s="147">
        <f t="shared" si="190"/>
        <v>360000</v>
      </c>
      <c r="AF1677" s="162">
        <f t="shared" si="190"/>
        <v>0</v>
      </c>
      <c r="AG1677" s="145">
        <f t="shared" si="190"/>
        <v>365000</v>
      </c>
      <c r="AH1677" s="160" t="e">
        <f t="shared" si="183"/>
        <v>#REF!</v>
      </c>
    </row>
    <row r="1678" spans="8:34" hidden="1">
      <c r="H1678" s="2909"/>
      <c r="I1678" s="2909"/>
      <c r="J1678" s="2909"/>
      <c r="K1678" s="2909"/>
      <c r="L1678" s="2910"/>
      <c r="M1678" s="2910"/>
      <c r="N1678" s="2910"/>
      <c r="O1678" s="2910"/>
      <c r="P1678" s="2911"/>
      <c r="Q1678" s="1260"/>
      <c r="R1678" s="2216"/>
      <c r="S1678" s="1260"/>
      <c r="T1678" s="446"/>
      <c r="U1678" s="70"/>
      <c r="V1678" s="70"/>
      <c r="W1678" s="70"/>
      <c r="X1678" s="153" t="e">
        <f>SUM(#REF!)</f>
        <v>#REF!</v>
      </c>
      <c r="Y1678" s="679"/>
      <c r="Z1678" s="679"/>
      <c r="AA1678" s="679"/>
      <c r="AB1678" s="679"/>
      <c r="AC1678" s="679"/>
      <c r="AD1678" s="181">
        <v>5000</v>
      </c>
      <c r="AE1678" s="147"/>
      <c r="AF1678" s="162"/>
      <c r="AG1678" s="153">
        <f t="shared" ref="AG1678:AG1684" si="191">SUM(AD1678:AF1678)</f>
        <v>5000</v>
      </c>
      <c r="AH1678" s="160" t="e">
        <f t="shared" si="183"/>
        <v>#REF!</v>
      </c>
    </row>
    <row r="1679" spans="8:34" hidden="1">
      <c r="H1679" s="2909"/>
      <c r="I1679" s="2909"/>
      <c r="J1679" s="2909"/>
      <c r="K1679" s="2909"/>
      <c r="L1679" s="2910"/>
      <c r="M1679" s="2910"/>
      <c r="N1679" s="2910"/>
      <c r="O1679" s="2910"/>
      <c r="P1679" s="2911"/>
      <c r="Q1679" s="1260"/>
      <c r="R1679" s="2216"/>
      <c r="S1679" s="1260"/>
      <c r="T1679" s="446"/>
      <c r="U1679" s="70"/>
      <c r="V1679" s="70"/>
      <c r="W1679" s="70"/>
      <c r="X1679" s="153" t="e">
        <f>SUM(#REF!)</f>
        <v>#REF!</v>
      </c>
      <c r="Y1679" s="679"/>
      <c r="Z1679" s="679"/>
      <c r="AA1679" s="679"/>
      <c r="AB1679" s="679"/>
      <c r="AC1679" s="679"/>
      <c r="AD1679" s="181"/>
      <c r="AE1679" s="151">
        <v>360000</v>
      </c>
      <c r="AF1679" s="162"/>
      <c r="AG1679" s="153">
        <f t="shared" si="191"/>
        <v>360000</v>
      </c>
      <c r="AH1679" s="160" t="e">
        <f t="shared" si="183"/>
        <v>#REF!</v>
      </c>
    </row>
    <row r="1680" spans="8:34" hidden="1">
      <c r="H1680" s="2924"/>
      <c r="I1680" s="2924"/>
      <c r="J1680" s="2924"/>
      <c r="K1680" s="2924"/>
      <c r="L1680" s="2925"/>
      <c r="M1680" s="2925"/>
      <c r="N1680" s="2925"/>
      <c r="O1680" s="2925"/>
      <c r="P1680" s="2926"/>
      <c r="Q1680" s="1748"/>
      <c r="R1680" s="2221"/>
      <c r="S1680" s="1748"/>
      <c r="T1680" s="679"/>
      <c r="U1680" s="53"/>
      <c r="V1680" s="53"/>
      <c r="W1680" s="53"/>
      <c r="X1680" s="153" t="e">
        <f>SUM(#REF!)</f>
        <v>#REF!</v>
      </c>
      <c r="Y1680" s="679"/>
      <c r="Z1680" s="679"/>
      <c r="AA1680" s="679"/>
      <c r="AB1680" s="679"/>
      <c r="AC1680" s="679"/>
      <c r="AD1680" s="181"/>
      <c r="AE1680" s="151"/>
      <c r="AF1680" s="163"/>
      <c r="AG1680" s="153">
        <f t="shared" si="191"/>
        <v>0</v>
      </c>
      <c r="AH1680" s="160" t="e">
        <f t="shared" si="183"/>
        <v>#REF!</v>
      </c>
    </row>
    <row r="1681" spans="8:34" hidden="1">
      <c r="H1681" s="2924"/>
      <c r="I1681" s="2924"/>
      <c r="J1681" s="2924"/>
      <c r="K1681" s="2924"/>
      <c r="L1681" s="2925"/>
      <c r="M1681" s="2925"/>
      <c r="N1681" s="2925"/>
      <c r="O1681" s="2925"/>
      <c r="P1681" s="2926"/>
      <c r="Q1681" s="1748"/>
      <c r="R1681" s="2221"/>
      <c r="S1681" s="1748"/>
      <c r="T1681" s="679"/>
      <c r="U1681" s="53"/>
      <c r="V1681" s="53"/>
      <c r="W1681" s="53"/>
      <c r="X1681" s="153" t="e">
        <f>SUM(#REF!)</f>
        <v>#REF!</v>
      </c>
      <c r="Y1681" s="679"/>
      <c r="Z1681" s="679"/>
      <c r="AA1681" s="679"/>
      <c r="AB1681" s="679"/>
      <c r="AC1681" s="679"/>
      <c r="AD1681" s="181"/>
      <c r="AE1681" s="151"/>
      <c r="AF1681" s="163"/>
      <c r="AG1681" s="153">
        <f t="shared" si="191"/>
        <v>0</v>
      </c>
      <c r="AH1681" s="160" t="e">
        <f t="shared" si="183"/>
        <v>#REF!</v>
      </c>
    </row>
    <row r="1682" spans="8:34" hidden="1">
      <c r="H1682" s="2924"/>
      <c r="I1682" s="2924"/>
      <c r="J1682" s="2924"/>
      <c r="K1682" s="2924"/>
      <c r="L1682" s="2925"/>
      <c r="M1682" s="2925"/>
      <c r="N1682" s="2925"/>
      <c r="O1682" s="2925"/>
      <c r="P1682" s="2926"/>
      <c r="Q1682" s="1748"/>
      <c r="R1682" s="2221"/>
      <c r="S1682" s="1748"/>
      <c r="T1682" s="679"/>
      <c r="U1682" s="53"/>
      <c r="V1682" s="53"/>
      <c r="W1682" s="53"/>
      <c r="X1682" s="153" t="e">
        <f>SUM(#REF!)</f>
        <v>#REF!</v>
      </c>
      <c r="Y1682" s="679"/>
      <c r="Z1682" s="679"/>
      <c r="AA1682" s="679"/>
      <c r="AB1682" s="679"/>
      <c r="AC1682" s="679"/>
      <c r="AD1682" s="181"/>
      <c r="AE1682" s="151"/>
      <c r="AF1682" s="163"/>
      <c r="AG1682" s="153">
        <f t="shared" si="191"/>
        <v>0</v>
      </c>
      <c r="AH1682" s="160" t="e">
        <f t="shared" si="183"/>
        <v>#REF!</v>
      </c>
    </row>
    <row r="1683" spans="8:34" hidden="1">
      <c r="H1683" s="2924"/>
      <c r="I1683" s="2924"/>
      <c r="J1683" s="2924"/>
      <c r="K1683" s="2924"/>
      <c r="L1683" s="2925"/>
      <c r="M1683" s="2925"/>
      <c r="N1683" s="2925"/>
      <c r="O1683" s="2925"/>
      <c r="P1683" s="2926"/>
      <c r="Q1683" s="1748"/>
      <c r="R1683" s="2221"/>
      <c r="S1683" s="1748"/>
      <c r="T1683" s="679"/>
      <c r="U1683" s="53"/>
      <c r="V1683" s="53"/>
      <c r="W1683" s="53"/>
      <c r="X1683" s="153" t="e">
        <f>SUM(#REF!)</f>
        <v>#REF!</v>
      </c>
      <c r="Y1683" s="679"/>
      <c r="Z1683" s="679"/>
      <c r="AA1683" s="679"/>
      <c r="AB1683" s="679"/>
      <c r="AC1683" s="679"/>
      <c r="AD1683" s="181"/>
      <c r="AE1683" s="151"/>
      <c r="AF1683" s="163"/>
      <c r="AG1683" s="153">
        <f t="shared" si="191"/>
        <v>0</v>
      </c>
      <c r="AH1683" s="160" t="e">
        <f t="shared" si="183"/>
        <v>#REF!</v>
      </c>
    </row>
    <row r="1684" spans="8:34" hidden="1">
      <c r="H1684" s="2909"/>
      <c r="I1684" s="2909"/>
      <c r="J1684" s="2909"/>
      <c r="K1684" s="2909"/>
      <c r="L1684" s="2910"/>
      <c r="M1684" s="2910"/>
      <c r="N1684" s="2910"/>
      <c r="O1684" s="2910"/>
      <c r="P1684" s="2911"/>
      <c r="Q1684" s="1260"/>
      <c r="R1684" s="2216"/>
      <c r="S1684" s="1260"/>
      <c r="T1684" s="446"/>
      <c r="U1684" s="70"/>
      <c r="V1684" s="70"/>
      <c r="W1684" s="70"/>
      <c r="X1684" s="153" t="e">
        <f>SUM(#REF!)</f>
        <v>#REF!</v>
      </c>
      <c r="Y1684" s="679"/>
      <c r="Z1684" s="679"/>
      <c r="AA1684" s="679"/>
      <c r="AB1684" s="679"/>
      <c r="AC1684" s="679"/>
      <c r="AD1684" s="181"/>
      <c r="AE1684" s="151"/>
      <c r="AF1684" s="162"/>
      <c r="AG1684" s="153">
        <f t="shared" si="191"/>
        <v>0</v>
      </c>
      <c r="AH1684" s="160" t="e">
        <f t="shared" si="183"/>
        <v>#REF!</v>
      </c>
    </row>
    <row r="1685" spans="8:34" hidden="1">
      <c r="H1685" s="2921"/>
      <c r="I1685" s="2921"/>
      <c r="J1685" s="2921"/>
      <c r="K1685" s="2921"/>
      <c r="L1685" s="2922"/>
      <c r="M1685" s="2922"/>
      <c r="N1685" s="2922"/>
      <c r="O1685" s="2922"/>
      <c r="P1685" s="2923"/>
      <c r="Q1685" s="1511"/>
      <c r="R1685" s="2220"/>
      <c r="S1685" s="1511"/>
      <c r="T1685" s="572"/>
      <c r="U1685" s="12"/>
      <c r="V1685" s="12"/>
      <c r="W1685" s="12"/>
      <c r="X1685" s="174" t="e">
        <f>SUM(X890,X934,X1000,X1026,X1111,X1155,X1352,X1460,X1581,X1617,X1648)-X1455-X1454-X1453-X1448-X1437-X1434-X1430-X1426-X1422-X1418-X1414-X1411-X1405-X1403-X1377-X1110-X1108-X931-X1572-X1684-X1683-X1682-X1562-X1510-X1442-X1440-X1308-X1152-X1151-X1150-X1149-X1540-X1100-X1098-X1096-X1091-X1082-X1080-X1538-X1273-X1447</f>
        <v>#REF!</v>
      </c>
      <c r="Y1685" s="572"/>
      <c r="Z1685" s="572"/>
      <c r="AA1685" s="572"/>
      <c r="AB1685" s="572"/>
      <c r="AC1685" s="572"/>
      <c r="AD1685" s="175">
        <f>SUM(AD890-AD931,AD934,AD1000,AD1026,AD1111,AD1155,AD1352,AD1460,AD1581,AD1617,AD1648)</f>
        <v>45051810.009999998</v>
      </c>
      <c r="AE1685" s="172">
        <f>SUM(AE1679,AE1561,AE1549,AE1547,AE1543,AE1533:AE1535,AE1529:AE1531,AE1505,AE1501:AE1502,AE1456:AE1457,AE1449,AE1444,AE1441,AE1438,AE1436,AE1432,AE1428,AE1424,AE1420,AE1416,AE1413,AE1409,AE1404,AE1399,AE1397,AE1390,AE1376,AE1318,AE1307,AE1305,AE1205,AE1153:AE1154,AE1104:AE1107,AE1099,AE1097,AE1092:AE1095,AE1086:AE1090,AE1083:AE1084,AE1081,AE1078:AE1079,AE1074:AE1075,AE1072,AE1070,AE1031,AE966,AE1452,AE1401,AE933,AE1410,AE1532,AE1439,AE1306,AE1071,AE1073,AE1077,AE1539,AE1541,AE1109,AE1402,AE1433,AE1429,AE1421,AE1417,AE1425,AE922,AE1076)</f>
        <v>13174015</v>
      </c>
      <c r="AF1685" s="173">
        <f>SUM(AF1680:AF1681,AF1547,AF1543,AF1509,AF1500:AF1506,AF1456:AF1457,AF1449:AF1451,AF1443,AF1444,AF1404,AF1397:AF1400,AF1390,AF1318,AF1309:AF1311,AF1282,AF1223:AF1224,AF1206:AF1207,AF1031,AF966,AF1205,AF1571,AF1391,AF1545,AF1558,AF1557,AF1445,AF1548,AF1204,AF1493:AF1495,AF1578:AF1579,AF1194+AF1193+AF1190,AF1496,AF1577,AF1519)</f>
        <v>6759136</v>
      </c>
      <c r="AG1685" s="174">
        <f>SUM(AG890,AG934,AG1000,AG1026,AG1111,AG1155,AG1352,AG1460,AG1581,AG1617,AG1648)</f>
        <v>64984961.009999998</v>
      </c>
      <c r="AH1685" s="176" t="e">
        <f t="shared" si="183"/>
        <v>#REF!</v>
      </c>
    </row>
    <row r="1686" spans="8:34" hidden="1">
      <c r="H1686" s="2921"/>
      <c r="I1686" s="2921"/>
      <c r="J1686" s="2921"/>
      <c r="K1686" s="2921"/>
      <c r="L1686" s="2922"/>
      <c r="M1686" s="2922"/>
      <c r="N1686" s="2922"/>
      <c r="O1686" s="2922"/>
      <c r="P1686" s="2923"/>
      <c r="Q1686" s="1511"/>
      <c r="R1686" s="2220"/>
      <c r="S1686" s="1511"/>
      <c r="T1686" s="572"/>
      <c r="U1686" s="12"/>
      <c r="V1686" s="12"/>
      <c r="W1686" s="12"/>
      <c r="X1686" s="174" t="e">
        <f>SUM(#REF!)</f>
        <v>#REF!</v>
      </c>
      <c r="Y1686" s="572"/>
      <c r="Z1686" s="572"/>
      <c r="AA1686" s="572"/>
      <c r="AB1686" s="572"/>
      <c r="AC1686" s="572"/>
      <c r="AD1686" s="175">
        <f>AD1682+AD1510+AD1506+AD1451+AD1445+AD1440+AD1437+AD1434+AD1430+AD1426+AD1422+AD1418+AD1411+AD1414+AD1377+AD1102+AD1101+AD1108+AD1683+AD1684+AD1570+AD1455+AD1403+AD1405+AD1152+AD1110+AD1454+AD1398+AD1308+AD1442+AD1071+AD1077+AD1080+AD1082+AD1089+AD1091+AD1151+AD1571+AD1273+AD1400+AD1572+AD1448</f>
        <v>0</v>
      </c>
      <c r="AE1686" s="172">
        <f>SUM(AE1682:AE1684,AE1562,AE1538,AE1453,AE1442,AE1440,AE1437,AE1426,AE1418,AE1308,AE1149:AE1152,AE1108,AE1110,AE1100,AE1098,AE1096,AE1091,AE1082,AE1080,AE931,AE1434,AE1430,AE1422,AE1414,AE1411,AE1403,AE1377,AE1454,AE1448,AE1540,)</f>
        <v>0</v>
      </c>
      <c r="AF1686" s="173">
        <f>AF1440+AF1437+AF1434+AF1430+AF1426+AF1422+AF1418+AF1411+AF1414+AF1377+AF1413+AF1101+AF1108+AF1683+AF1684+AF1570+AF1455+AF1403+AF1405+AF1152+AF1110+AF1454+AF1308+AF1442+AF1071+AF1077+AF1080+AF1082+AF1089+AF1091+AF1151+AF1273+AF1572+AF1448+AF1402+AF1510+AF1447</f>
        <v>0</v>
      </c>
      <c r="AG1686" s="174">
        <f>SUM(AE1686:AF1686)</f>
        <v>0</v>
      </c>
      <c r="AH1686" s="176" t="e">
        <f t="shared" si="183"/>
        <v>#REF!</v>
      </c>
    </row>
    <row r="1687" spans="8:34" ht="20.25" hidden="1" thickBot="1">
      <c r="H1687" s="2962"/>
      <c r="I1687" s="2962"/>
      <c r="J1687" s="2962"/>
      <c r="K1687" s="2962"/>
      <c r="L1687" s="2963"/>
      <c r="M1687" s="2963"/>
      <c r="N1687" s="2963"/>
      <c r="O1687" s="2963"/>
      <c r="P1687" s="2964"/>
      <c r="Q1687" s="2200"/>
      <c r="R1687" s="2231"/>
      <c r="S1687" s="2200"/>
      <c r="T1687" s="975"/>
      <c r="U1687" s="975"/>
      <c r="V1687" s="975"/>
      <c r="W1687" s="975"/>
      <c r="X1687" s="27" t="e">
        <f t="shared" ref="X1687:AG1687" si="192">X1685+X1686</f>
        <v>#REF!</v>
      </c>
      <c r="Y1687" s="580"/>
      <c r="Z1687" s="580"/>
      <c r="AA1687" s="580"/>
      <c r="AB1687" s="580"/>
      <c r="AC1687" s="580"/>
      <c r="AD1687" s="207">
        <f t="shared" si="192"/>
        <v>45051810.009999998</v>
      </c>
      <c r="AE1687" s="25">
        <f t="shared" si="192"/>
        <v>13174015</v>
      </c>
      <c r="AF1687" s="26">
        <f t="shared" si="192"/>
        <v>6759136</v>
      </c>
      <c r="AG1687" s="27">
        <f t="shared" si="192"/>
        <v>64984961.009999998</v>
      </c>
      <c r="AH1687" s="208" t="e">
        <f t="shared" si="183"/>
        <v>#REF!</v>
      </c>
    </row>
    <row r="1688" spans="8:34" hidden="1"/>
  </sheetData>
  <mergeCells count="13">
    <mergeCell ref="F1:P1"/>
    <mergeCell ref="H3:K3"/>
    <mergeCell ref="P3:P4"/>
    <mergeCell ref="F2:G2"/>
    <mergeCell ref="G3:G4"/>
    <mergeCell ref="F3:F4"/>
    <mergeCell ref="L3:O3"/>
    <mergeCell ref="AH887:AH888"/>
    <mergeCell ref="AD887:AG887"/>
    <mergeCell ref="H884:X884"/>
    <mergeCell ref="H885:X885"/>
    <mergeCell ref="H886:X886"/>
    <mergeCell ref="H887:X887"/>
  </mergeCells>
  <phoneticPr fontId="34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60" orientation="landscape" r:id="rId1"/>
  <headerFooter>
    <oddFooter>&amp;L&amp;"Times New Roman,Uobičajeno"&amp;16&amp;K00-028Rebalans Budžeta Grada Mostara za 2021.g.- Rashodi i izdaci opšti dio&amp;C&amp;16&amp;P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1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BH551"/>
  <sheetViews>
    <sheetView view="pageBreakPreview" topLeftCell="C534" zoomScale="55" zoomScaleSheetLayoutView="55" workbookViewId="0">
      <selection activeCell="AB530" sqref="AB4:AB530"/>
    </sheetView>
  </sheetViews>
  <sheetFormatPr defaultRowHeight="39" customHeight="1"/>
  <cols>
    <col min="1" max="3" width="9.140625" style="275"/>
    <col min="4" max="5" width="9.42578125" style="275" bestFit="1" customWidth="1"/>
    <col min="6" max="6" width="15.28515625" style="275" customWidth="1"/>
    <col min="7" max="7" width="58.7109375" style="327" customWidth="1"/>
    <col min="8" max="9" width="10.140625" style="275" hidden="1" customWidth="1"/>
    <col min="10" max="10" width="9.28515625" style="275" hidden="1" customWidth="1"/>
    <col min="11" max="11" width="10.140625" style="275" hidden="1" customWidth="1"/>
    <col min="12" max="14" width="21.28515625" style="327" customWidth="1"/>
    <col min="15" max="15" width="21.28515625" style="1342" customWidth="1"/>
    <col min="16" max="23" width="21.28515625" style="327" customWidth="1"/>
    <col min="24" max="24" width="10.42578125" style="275" customWidth="1"/>
    <col min="25" max="25" width="17.85546875" style="756" customWidth="1"/>
    <col min="26" max="26" width="17.85546875" style="1132" customWidth="1"/>
    <col min="27" max="27" width="20.85546875" style="1132" customWidth="1"/>
    <col min="28" max="28" width="16.7109375" style="275" customWidth="1"/>
    <col min="29" max="29" width="21.140625" style="275" customWidth="1"/>
    <col min="30" max="30" width="18.85546875" style="275" customWidth="1"/>
    <col min="31" max="31" width="18.28515625" style="275" customWidth="1"/>
    <col min="32" max="32" width="18.7109375" style="275" customWidth="1"/>
    <col min="33" max="33" width="16.5703125" style="275" customWidth="1"/>
    <col min="34" max="34" width="24" style="275" customWidth="1"/>
    <col min="35" max="35" width="19.5703125" style="275" customWidth="1"/>
    <col min="36" max="36" width="16.5703125" style="275" customWidth="1"/>
    <col min="37" max="38" width="17.42578125" style="275" customWidth="1"/>
    <col min="39" max="42" width="10.42578125" style="275" customWidth="1"/>
    <col min="43" max="43" width="19.28515625" style="275" customWidth="1"/>
    <col min="44" max="44" width="10.42578125" style="275" customWidth="1"/>
    <col min="45" max="45" width="15.28515625" style="1132" customWidth="1"/>
    <col min="46" max="46" width="17.28515625" customWidth="1"/>
    <col min="47" max="47" width="46.5703125" customWidth="1"/>
    <col min="48" max="48" width="14.28515625" style="756" customWidth="1"/>
    <col min="49" max="49" width="15.140625" style="756" customWidth="1"/>
    <col min="50" max="50" width="12.85546875" customWidth="1"/>
    <col min="51" max="51" width="15.7109375" customWidth="1"/>
    <col min="52" max="52" width="13.140625" customWidth="1"/>
    <col min="53" max="54" width="10.42578125" customWidth="1"/>
    <col min="55" max="56" width="13.7109375" customWidth="1"/>
    <col min="57" max="57" width="12.28515625" customWidth="1"/>
    <col min="58" max="58" width="10.140625" bestFit="1" customWidth="1"/>
    <col min="59" max="59" width="14.42578125" bestFit="1" customWidth="1"/>
    <col min="60" max="60" width="15.7109375" customWidth="1"/>
  </cols>
  <sheetData>
    <row r="1" spans="1:60" ht="39" customHeight="1">
      <c r="A1" s="3316" t="s">
        <v>1553</v>
      </c>
      <c r="B1" s="3316"/>
      <c r="C1" s="3316"/>
      <c r="D1" s="3316"/>
      <c r="E1" s="3316"/>
      <c r="F1" s="3316"/>
      <c r="G1" s="3316"/>
      <c r="H1" s="3316"/>
      <c r="I1" s="3316"/>
      <c r="J1" s="3316"/>
      <c r="K1" s="3316"/>
      <c r="L1" s="3316"/>
      <c r="M1" s="3316"/>
      <c r="N1" s="3316"/>
      <c r="O1" s="3316"/>
      <c r="P1" s="3316"/>
      <c r="Q1" s="3316"/>
      <c r="R1" s="3316"/>
      <c r="S1" s="3316"/>
      <c r="T1" s="3316"/>
      <c r="U1" s="3316"/>
      <c r="V1" s="3316"/>
      <c r="W1" s="3316"/>
      <c r="X1" s="3316"/>
      <c r="Y1" s="2455"/>
      <c r="Z1" s="1138"/>
      <c r="AA1" s="1138"/>
      <c r="AB1" s="1571"/>
      <c r="AC1" s="1571"/>
      <c r="AD1" s="1498"/>
      <c r="AE1" s="1498"/>
      <c r="AF1" s="1498"/>
      <c r="AG1" s="1393"/>
      <c r="AH1" s="1356"/>
      <c r="AI1" s="1299"/>
      <c r="AJ1" s="1299"/>
      <c r="AK1" s="1299"/>
      <c r="AL1" s="1299"/>
      <c r="AM1" s="1299"/>
      <c r="AN1" s="1299"/>
      <c r="AO1" s="1299"/>
      <c r="AP1" s="1299"/>
      <c r="AQ1" s="1298"/>
      <c r="AR1" s="1256"/>
      <c r="AS1" s="1138"/>
      <c r="AT1" s="994"/>
    </row>
    <row r="2" spans="1:60" ht="39" customHeight="1" thickBot="1">
      <c r="A2" s="3375" t="s">
        <v>1678</v>
      </c>
      <c r="B2" s="3375"/>
      <c r="C2" s="3375"/>
      <c r="D2" s="3375"/>
      <c r="E2" s="3375"/>
      <c r="F2" s="3375"/>
      <c r="G2" s="3375"/>
      <c r="H2" s="3375"/>
      <c r="I2" s="3375"/>
      <c r="J2" s="3375"/>
      <c r="K2" s="3375"/>
      <c r="L2" s="3375"/>
      <c r="M2" s="3375"/>
      <c r="N2" s="3375"/>
      <c r="O2" s="3375"/>
      <c r="P2" s="3375"/>
      <c r="Q2" s="3375"/>
      <c r="R2" s="3375"/>
      <c r="S2" s="3375"/>
      <c r="T2" s="1300"/>
    </row>
    <row r="3" spans="1:60" ht="39" customHeight="1" thickTop="1">
      <c r="A3" s="3376" t="s">
        <v>197</v>
      </c>
      <c r="B3" s="3378" t="s">
        <v>198</v>
      </c>
      <c r="C3" s="3378" t="s">
        <v>199</v>
      </c>
      <c r="D3" s="3380" t="s">
        <v>200</v>
      </c>
      <c r="E3" s="3380" t="s">
        <v>201</v>
      </c>
      <c r="F3" s="3382" t="s">
        <v>202</v>
      </c>
      <c r="G3" s="3372" t="s">
        <v>1</v>
      </c>
      <c r="H3" s="1092" t="s">
        <v>159</v>
      </c>
      <c r="I3" s="1092"/>
      <c r="J3" s="1092"/>
      <c r="K3" s="1093"/>
      <c r="L3" s="3364" t="s">
        <v>1272</v>
      </c>
      <c r="M3" s="3365"/>
      <c r="N3" s="3365"/>
      <c r="O3" s="3374"/>
      <c r="P3" s="3369" t="s">
        <v>1655</v>
      </c>
      <c r="Q3" s="3370"/>
      <c r="R3" s="3370"/>
      <c r="S3" s="3371"/>
      <c r="T3" s="3364" t="s">
        <v>1652</v>
      </c>
      <c r="U3" s="3365"/>
      <c r="V3" s="3365"/>
      <c r="W3" s="3366"/>
      <c r="X3" s="3367" t="s">
        <v>583</v>
      </c>
      <c r="Y3" s="757"/>
      <c r="Z3" s="1133"/>
      <c r="AA3" s="1133"/>
      <c r="AB3" s="1292"/>
      <c r="AC3" s="1292"/>
      <c r="AD3" s="1292"/>
      <c r="AE3" s="1292"/>
      <c r="AF3" s="1292"/>
      <c r="AG3" s="1292"/>
      <c r="AH3" s="1292"/>
      <c r="AI3" s="1292"/>
      <c r="AJ3" s="1292"/>
      <c r="AK3" s="1292"/>
      <c r="AL3" s="1292"/>
      <c r="AM3" s="1292"/>
      <c r="AN3" s="1292"/>
      <c r="AO3" s="1292"/>
      <c r="AP3" s="1292"/>
      <c r="AQ3" s="1292"/>
      <c r="AR3" s="1292"/>
      <c r="AS3" s="1133"/>
      <c r="AT3" s="666"/>
      <c r="AU3" s="666"/>
      <c r="AV3" s="757"/>
      <c r="AW3" s="757"/>
      <c r="AX3" s="666"/>
      <c r="AY3" s="666"/>
      <c r="AZ3" s="666"/>
      <c r="BA3" s="666"/>
      <c r="BB3" s="666"/>
    </row>
    <row r="4" spans="1:60" ht="180" customHeight="1">
      <c r="A4" s="3377"/>
      <c r="B4" s="3379"/>
      <c r="C4" s="3379"/>
      <c r="D4" s="3381"/>
      <c r="E4" s="3381"/>
      <c r="F4" s="3383"/>
      <c r="G4" s="3373"/>
      <c r="H4" s="1584" t="s">
        <v>50</v>
      </c>
      <c r="I4" s="1584" t="s">
        <v>162</v>
      </c>
      <c r="J4" s="1584" t="s">
        <v>52</v>
      </c>
      <c r="K4" s="1585" t="s">
        <v>53</v>
      </c>
      <c r="L4" s="1586" t="s">
        <v>50</v>
      </c>
      <c r="M4" s="1490" t="s">
        <v>162</v>
      </c>
      <c r="N4" s="1491" t="s">
        <v>52</v>
      </c>
      <c r="O4" s="1335" t="s">
        <v>606</v>
      </c>
      <c r="P4" s="1586" t="s">
        <v>50</v>
      </c>
      <c r="Q4" s="1490" t="s">
        <v>162</v>
      </c>
      <c r="R4" s="1491" t="s">
        <v>52</v>
      </c>
      <c r="S4" s="1335" t="s">
        <v>606</v>
      </c>
      <c r="T4" s="1586" t="s">
        <v>50</v>
      </c>
      <c r="U4" s="1490" t="s">
        <v>162</v>
      </c>
      <c r="V4" s="1491" t="s">
        <v>52</v>
      </c>
      <c r="W4" s="1335" t="s">
        <v>606</v>
      </c>
      <c r="X4" s="3368"/>
      <c r="Y4" s="757"/>
      <c r="Z4" s="1133"/>
      <c r="AA4" s="1133"/>
      <c r="AB4" s="1293" t="e">
        <f t="shared" ref="AB4:AB67" si="0">T4+U4+V4-W4</f>
        <v>#VALUE!</v>
      </c>
      <c r="AC4" s="1292"/>
      <c r="AD4" s="1292"/>
      <c r="AE4" s="1292"/>
      <c r="AF4" s="1292"/>
      <c r="AG4" s="1292"/>
      <c r="AH4" s="1292"/>
      <c r="AI4" s="1292"/>
      <c r="AJ4" s="1292"/>
      <c r="AK4" s="1292"/>
      <c r="AL4" s="1292"/>
      <c r="AM4" s="1292"/>
      <c r="AN4" s="1292"/>
      <c r="AO4" s="1292"/>
      <c r="AP4" s="1292"/>
      <c r="AQ4" s="1292"/>
      <c r="AR4" s="1292"/>
      <c r="AS4" s="1133"/>
      <c r="AT4" s="666"/>
      <c r="AU4" s="666"/>
      <c r="AV4" s="758"/>
      <c r="AW4" s="757"/>
      <c r="AX4" s="666"/>
      <c r="AY4" s="666"/>
      <c r="AZ4" s="666"/>
      <c r="BA4" s="666"/>
      <c r="BB4" s="666"/>
    </row>
    <row r="5" spans="1:60" s="351" customFormat="1" ht="34.5" customHeight="1">
      <c r="A5" s="1587"/>
      <c r="B5" s="1588"/>
      <c r="C5" s="1588"/>
      <c r="D5" s="1589"/>
      <c r="E5" s="1589"/>
      <c r="F5" s="1793"/>
      <c r="G5" s="1834"/>
      <c r="H5" s="1590">
        <v>1</v>
      </c>
      <c r="I5" s="1590">
        <v>2</v>
      </c>
      <c r="J5" s="1590">
        <v>3</v>
      </c>
      <c r="K5" s="1591" t="s">
        <v>163</v>
      </c>
      <c r="L5" s="1592">
        <v>1</v>
      </c>
      <c r="M5" s="1581">
        <v>2</v>
      </c>
      <c r="N5" s="1582">
        <v>3</v>
      </c>
      <c r="O5" s="1580" t="s">
        <v>653</v>
      </c>
      <c r="P5" s="1592">
        <v>5</v>
      </c>
      <c r="Q5" s="1581">
        <v>6</v>
      </c>
      <c r="R5" s="1582">
        <v>7</v>
      </c>
      <c r="S5" s="1580" t="s">
        <v>54</v>
      </c>
      <c r="T5" s="1592">
        <v>9</v>
      </c>
      <c r="U5" s="1581">
        <v>10</v>
      </c>
      <c r="V5" s="1582">
        <v>11</v>
      </c>
      <c r="W5" s="1583" t="s">
        <v>1501</v>
      </c>
      <c r="X5" s="1593">
        <v>13</v>
      </c>
      <c r="Y5" s="2456"/>
      <c r="Z5" s="2463"/>
      <c r="AA5" s="1135"/>
      <c r="AB5" s="1293" t="e">
        <f t="shared" si="0"/>
        <v>#VALUE!</v>
      </c>
      <c r="AC5" s="1293"/>
      <c r="AD5" s="1293"/>
      <c r="AE5" s="1293" t="e">
        <f t="shared" ref="AE5:AE68" si="1">T5+U5+V5-W5</f>
        <v>#VALUE!</v>
      </c>
      <c r="AF5" s="1293"/>
      <c r="AG5" s="1293"/>
      <c r="AH5" s="1294">
        <f t="shared" ref="AH5:AH68" si="2">T5-L5</f>
        <v>8</v>
      </c>
      <c r="AI5" s="1293"/>
      <c r="AJ5" s="1293"/>
      <c r="AK5" s="1293"/>
      <c r="AL5" s="1293"/>
      <c r="AM5" s="1293"/>
      <c r="AN5" s="1293"/>
      <c r="AO5" s="1293"/>
      <c r="AP5" s="1293"/>
      <c r="AQ5" s="1293"/>
      <c r="AR5" s="1294" t="e">
        <f t="shared" ref="AR5:AR36" si="3">T5+U5+V5-W5</f>
        <v>#VALUE!</v>
      </c>
      <c r="AS5" s="1135"/>
      <c r="AT5" s="668"/>
      <c r="AU5" s="667"/>
      <c r="AV5" s="758"/>
      <c r="AW5" s="758"/>
      <c r="AX5" s="667"/>
      <c r="AY5" s="667"/>
      <c r="AZ5" s="667"/>
      <c r="BA5" s="667"/>
      <c r="BB5" s="667"/>
      <c r="BC5" s="437" t="e">
        <f>T5+U5+V5+-W5</f>
        <v>#VALUE!</v>
      </c>
      <c r="BD5" s="437"/>
    </row>
    <row r="6" spans="1:60" ht="39" customHeight="1">
      <c r="A6" s="1594" t="s">
        <v>203</v>
      </c>
      <c r="B6" s="1595" t="s">
        <v>204</v>
      </c>
      <c r="C6" s="1595" t="s">
        <v>205</v>
      </c>
      <c r="D6" s="1596">
        <v>111</v>
      </c>
      <c r="E6" s="1596" t="s">
        <v>206</v>
      </c>
      <c r="F6" s="1794"/>
      <c r="G6" s="1834" t="s">
        <v>668</v>
      </c>
      <c r="H6" s="1590">
        <f>SUM(H8,H39:H42)</f>
        <v>486000</v>
      </c>
      <c r="I6" s="1590">
        <f>SUM(I8,I39:I42)</f>
        <v>8817</v>
      </c>
      <c r="J6" s="1590">
        <f>SUM(J8,J39:J42)</f>
        <v>0</v>
      </c>
      <c r="K6" s="1591" t="e">
        <f>SUM(K8,K39:K42,#REF!)</f>
        <v>#REF!</v>
      </c>
      <c r="L6" s="1597">
        <f>SUM(L8,L39:L42)</f>
        <v>1586450</v>
      </c>
      <c r="M6" s="1492">
        <f>SUM(M8,M39:M42)</f>
        <v>95000</v>
      </c>
      <c r="N6" s="1493">
        <f>SUM(N8,N39:N42)</f>
        <v>8817</v>
      </c>
      <c r="O6" s="1471">
        <f>SUM(O8,O39:O42,)</f>
        <v>1690267</v>
      </c>
      <c r="P6" s="1597">
        <f>SUM(P8,P39:P42)</f>
        <v>1736310</v>
      </c>
      <c r="Q6" s="1492">
        <f>SUM(Q8,Q39:Q42)</f>
        <v>80000</v>
      </c>
      <c r="R6" s="1493">
        <f>SUM(R8,R39:R42)</f>
        <v>0</v>
      </c>
      <c r="S6" s="1471">
        <f>SUM(S8,S39:S42,)</f>
        <v>1825310</v>
      </c>
      <c r="T6" s="1597">
        <f>SUM(T8,T39:T42)</f>
        <v>1506460</v>
      </c>
      <c r="U6" s="1492">
        <f>SUM(U8,U39:U42)</f>
        <v>90000</v>
      </c>
      <c r="V6" s="1493">
        <f>SUM(V8,V39:V42)</f>
        <v>250000</v>
      </c>
      <c r="W6" s="1471">
        <f>SUM(W8,W39:W42,)</f>
        <v>1846460</v>
      </c>
      <c r="X6" s="1598">
        <f>W6/O6*100</f>
        <v>109.2407294232213</v>
      </c>
      <c r="Y6" s="758">
        <f>'[1]PRIH REBALANS'!$AK$316</f>
        <v>1846460</v>
      </c>
      <c r="Z6" s="1135"/>
      <c r="AA6" s="1135">
        <f>'[9]PRIH REBALANS'!$AK$316</f>
        <v>1846460</v>
      </c>
      <c r="AB6" s="1293">
        <f t="shared" si="0"/>
        <v>0</v>
      </c>
      <c r="AC6" s="1293">
        <f t="shared" ref="AC6:AC69" si="4">T6+U6+V6-W6</f>
        <v>0</v>
      </c>
      <c r="AD6" s="1293">
        <f>W6-O6</f>
        <v>156193</v>
      </c>
      <c r="AE6" s="1293">
        <f t="shared" si="1"/>
        <v>0</v>
      </c>
      <c r="AF6" s="1293"/>
      <c r="AG6" s="1293">
        <f>'[11]PRIH REBALANS'!$AK$316</f>
        <v>1855760</v>
      </c>
      <c r="AH6" s="1294">
        <f t="shared" si="2"/>
        <v>-79990</v>
      </c>
      <c r="AI6" s="1294">
        <f t="shared" ref="AI6:AI37" si="5">T6+U6+V6-W6</f>
        <v>0</v>
      </c>
      <c r="AJ6" s="1293">
        <f>T6+U6+V6-W6</f>
        <v>0</v>
      </c>
      <c r="AK6" s="1293"/>
      <c r="AL6" s="1293"/>
      <c r="AM6" s="1293"/>
      <c r="AN6" s="1293"/>
      <c r="AO6" s="1293"/>
      <c r="AP6" s="1293"/>
      <c r="AQ6" s="1293"/>
      <c r="AR6" s="1294">
        <f t="shared" si="3"/>
        <v>0</v>
      </c>
      <c r="AS6" s="1135">
        <f>SUM(AS10,AS13,AS17,AS19,W37,W39:W42)</f>
        <v>1846460</v>
      </c>
      <c r="AT6" s="668">
        <f t="shared" ref="AT6:AT37" si="6">T6+U6+V6-W6</f>
        <v>0</v>
      </c>
      <c r="AU6" s="668">
        <f>SUM(AU10,AU13,AU17,AU19,AU37,W39:W42)</f>
        <v>1846460</v>
      </c>
      <c r="AV6" s="468">
        <f>'[3]PRIH REBALANS'!$AK$336</f>
        <v>1690267</v>
      </c>
      <c r="AW6" s="468">
        <f t="shared" ref="AW6:AW37" si="7">W6-AV6</f>
        <v>156193</v>
      </c>
      <c r="AX6" s="668"/>
      <c r="AY6" s="668"/>
      <c r="AZ6" s="668"/>
      <c r="BA6" s="668"/>
      <c r="BB6" s="668"/>
      <c r="BC6" s="437">
        <f>'[2]PRIH REBALANS'!$AK$336</f>
        <v>1690267</v>
      </c>
      <c r="BD6" s="437">
        <f>BC6-W6</f>
        <v>-156193</v>
      </c>
      <c r="BE6">
        <f t="shared" ref="BE6:BE42" si="8">W6/O6*100</f>
        <v>109.2407294232213</v>
      </c>
      <c r="BF6" s="437">
        <f t="shared" ref="BF6:BF37" si="9">BE6-X6</f>
        <v>0</v>
      </c>
      <c r="BG6" s="469">
        <f>SUM(BG8:BG19,BG37,W39:W42)</f>
        <v>1846460</v>
      </c>
      <c r="BH6" s="209">
        <f>BG6-W6</f>
        <v>0</v>
      </c>
    </row>
    <row r="7" spans="1:60" ht="39" customHeight="1">
      <c r="A7" s="1594"/>
      <c r="B7" s="1595"/>
      <c r="C7" s="1595"/>
      <c r="D7" s="1596"/>
      <c r="E7" s="1596"/>
      <c r="F7" s="1794"/>
      <c r="G7" s="1834" t="s">
        <v>1672</v>
      </c>
      <c r="H7" s="1590">
        <v>3</v>
      </c>
      <c r="I7" s="1590"/>
      <c r="J7" s="1590"/>
      <c r="K7" s="1591"/>
      <c r="L7" s="1597"/>
      <c r="M7" s="1492"/>
      <c r="N7" s="1493"/>
      <c r="O7" s="1471"/>
      <c r="P7" s="1597"/>
      <c r="Q7" s="1492"/>
      <c r="R7" s="1493"/>
      <c r="S7" s="1471"/>
      <c r="T7" s="1597"/>
      <c r="U7" s="1492"/>
      <c r="V7" s="1493"/>
      <c r="W7" s="1471"/>
      <c r="X7" s="1598"/>
      <c r="Y7" s="758"/>
      <c r="Z7" s="1135"/>
      <c r="AA7" s="1135"/>
      <c r="AB7" s="1293">
        <f t="shared" si="0"/>
        <v>0</v>
      </c>
      <c r="AC7" s="1293">
        <f t="shared" si="4"/>
        <v>0</v>
      </c>
      <c r="AD7" s="1293">
        <f t="shared" ref="AD7:AD70" si="10">W7-O7</f>
        <v>0</v>
      </c>
      <c r="AE7" s="1293">
        <f t="shared" si="1"/>
        <v>0</v>
      </c>
      <c r="AF7" s="1293"/>
      <c r="AG7" s="1293"/>
      <c r="AH7" s="1294">
        <f t="shared" si="2"/>
        <v>0</v>
      </c>
      <c r="AI7" s="1294">
        <f t="shared" si="5"/>
        <v>0</v>
      </c>
      <c r="AJ7" s="1293">
        <f t="shared" ref="AJ7:AJ70" si="11">T7+U7+V7-W7</f>
        <v>0</v>
      </c>
      <c r="AK7" s="1293"/>
      <c r="AL7" s="1293"/>
      <c r="AM7" s="1293"/>
      <c r="AN7" s="1293"/>
      <c r="AO7" s="1293"/>
      <c r="AP7" s="1293"/>
      <c r="AQ7" s="1293"/>
      <c r="AR7" s="1294">
        <f t="shared" si="3"/>
        <v>0</v>
      </c>
      <c r="AS7" s="1135"/>
      <c r="AT7" s="668">
        <f t="shared" si="6"/>
        <v>0</v>
      </c>
      <c r="AU7" s="668"/>
      <c r="AV7" s="468">
        <f t="shared" ref="AV7:AV42" si="12">T7+U7+V7-W7</f>
        <v>0</v>
      </c>
      <c r="AW7" s="468">
        <f t="shared" si="7"/>
        <v>0</v>
      </c>
      <c r="AX7" s="668"/>
      <c r="AY7" s="668"/>
      <c r="AZ7" s="668"/>
      <c r="BA7" s="668"/>
      <c r="BB7" s="668"/>
      <c r="BC7" s="437">
        <f>T7+U7+V7+-W7</f>
        <v>0</v>
      </c>
      <c r="BD7" s="437"/>
      <c r="BE7" t="e">
        <f t="shared" si="8"/>
        <v>#DIV/0!</v>
      </c>
      <c r="BF7" s="437" t="e">
        <f t="shared" si="9"/>
        <v>#DIV/0!</v>
      </c>
    </row>
    <row r="8" spans="1:60" ht="39" customHeight="1">
      <c r="A8" s="1376"/>
      <c r="B8" s="1377"/>
      <c r="C8" s="1377"/>
      <c r="D8" s="1373">
        <v>111</v>
      </c>
      <c r="E8" s="1373" t="s">
        <v>206</v>
      </c>
      <c r="F8" s="1795"/>
      <c r="G8" s="1835" t="s">
        <v>669</v>
      </c>
      <c r="H8" s="1599">
        <f>SUM(H9,H17,H19,H37)</f>
        <v>476000</v>
      </c>
      <c r="I8" s="1599">
        <f>SUM(I9,I17,I19,I37)</f>
        <v>0</v>
      </c>
      <c r="J8" s="1599">
        <f>SUM(J9,J17,J19,J37)</f>
        <v>0</v>
      </c>
      <c r="K8" s="1600">
        <f>K9+K17+K19+K37</f>
        <v>476000</v>
      </c>
      <c r="L8" s="1601">
        <f>SUM(L9,L17,L19,L37)</f>
        <v>1016450</v>
      </c>
      <c r="M8" s="1321">
        <f>SUM(M9,M17,M19,M37)</f>
        <v>95000</v>
      </c>
      <c r="N8" s="1322">
        <f>SUM(N9,N17,N19,N37)</f>
        <v>0</v>
      </c>
      <c r="O8" s="1472">
        <f>O9+O17+O19+O37</f>
        <v>1111450</v>
      </c>
      <c r="P8" s="1601">
        <f>SUM(P9,P17,P19,P37)</f>
        <v>1176310</v>
      </c>
      <c r="Q8" s="1321">
        <f>SUM(Q9,Q17,Q19,Q37)</f>
        <v>80000</v>
      </c>
      <c r="R8" s="1322">
        <f>SUM(R9,R17,R19,R37)</f>
        <v>0</v>
      </c>
      <c r="S8" s="1472">
        <f>S9+S17+S19+S37</f>
        <v>1256310</v>
      </c>
      <c r="T8" s="1601">
        <f>SUM(T9,T17,T19,T37)</f>
        <v>936460</v>
      </c>
      <c r="U8" s="1321">
        <f>SUM(U9,U17,U19,U37)</f>
        <v>90000</v>
      </c>
      <c r="V8" s="1322">
        <f>SUM(V9,V17,V19,V37)</f>
        <v>250000</v>
      </c>
      <c r="W8" s="1472">
        <f>W9+W17+W19+W37</f>
        <v>1276460</v>
      </c>
      <c r="X8" s="1578">
        <f t="shared" ref="X8:X70" si="13">W8/O8*100</f>
        <v>114.84637185658374</v>
      </c>
      <c r="Y8" s="2457">
        <f>'[1]PRIH REBALANS'!$AK$318</f>
        <v>1276460</v>
      </c>
      <c r="Z8" s="1136"/>
      <c r="AA8" s="1136"/>
      <c r="AB8" s="1293">
        <f t="shared" si="0"/>
        <v>0</v>
      </c>
      <c r="AC8" s="1293">
        <f t="shared" si="4"/>
        <v>0</v>
      </c>
      <c r="AD8" s="1293">
        <f t="shared" si="10"/>
        <v>165010</v>
      </c>
      <c r="AE8" s="1293">
        <f t="shared" si="1"/>
        <v>0</v>
      </c>
      <c r="AF8" s="1294"/>
      <c r="AG8" s="1294"/>
      <c r="AH8" s="1294">
        <f t="shared" si="2"/>
        <v>-79990</v>
      </c>
      <c r="AI8" s="1294">
        <f t="shared" si="5"/>
        <v>0</v>
      </c>
      <c r="AJ8" s="1293">
        <f t="shared" si="11"/>
        <v>0</v>
      </c>
      <c r="AK8" s="1294"/>
      <c r="AL8" s="1294"/>
      <c r="AM8" s="1294"/>
      <c r="AN8" s="1294"/>
      <c r="AO8" s="1294"/>
      <c r="AP8" s="1294"/>
      <c r="AQ8" s="1294"/>
      <c r="AR8" s="1294">
        <f t="shared" si="3"/>
        <v>0</v>
      </c>
      <c r="AS8" s="1136"/>
      <c r="AT8" s="668">
        <f t="shared" si="6"/>
        <v>0</v>
      </c>
      <c r="AU8" s="463"/>
      <c r="AV8" s="468">
        <f t="shared" si="12"/>
        <v>0</v>
      </c>
      <c r="AW8" s="468">
        <f t="shared" si="7"/>
        <v>1276460</v>
      </c>
      <c r="AX8" s="463"/>
      <c r="AY8" s="463"/>
      <c r="AZ8" s="463"/>
      <c r="BA8" s="463"/>
      <c r="BB8" s="463"/>
      <c r="BC8" s="437">
        <f>T8+U8+V8+-W8</f>
        <v>0</v>
      </c>
      <c r="BD8" s="437"/>
      <c r="BE8">
        <f t="shared" si="8"/>
        <v>114.84637185658374</v>
      </c>
      <c r="BF8" s="437">
        <f t="shared" si="9"/>
        <v>0</v>
      </c>
    </row>
    <row r="9" spans="1:60" ht="39" customHeight="1">
      <c r="A9" s="1376"/>
      <c r="B9" s="1377"/>
      <c r="C9" s="1377"/>
      <c r="D9" s="1373">
        <v>111</v>
      </c>
      <c r="E9" s="1373"/>
      <c r="F9" s="1795">
        <v>611000</v>
      </c>
      <c r="G9" s="1836" t="s">
        <v>693</v>
      </c>
      <c r="H9" s="1599">
        <f t="shared" ref="H9:O9" si="14">SUM(H10,H13)</f>
        <v>31700</v>
      </c>
      <c r="I9" s="1599">
        <f t="shared" si="14"/>
        <v>0</v>
      </c>
      <c r="J9" s="1599">
        <f t="shared" si="14"/>
        <v>0</v>
      </c>
      <c r="K9" s="1600">
        <f t="shared" si="14"/>
        <v>31700</v>
      </c>
      <c r="L9" s="1601">
        <f t="shared" si="14"/>
        <v>68450</v>
      </c>
      <c r="M9" s="1321">
        <f t="shared" si="14"/>
        <v>0</v>
      </c>
      <c r="N9" s="1322">
        <f t="shared" si="14"/>
        <v>0</v>
      </c>
      <c r="O9" s="1472">
        <f t="shared" si="14"/>
        <v>68450</v>
      </c>
      <c r="P9" s="1601">
        <f t="shared" ref="P9:W9" si="15">SUM(P10,P13)</f>
        <v>86360</v>
      </c>
      <c r="Q9" s="1321">
        <f t="shared" si="15"/>
        <v>0</v>
      </c>
      <c r="R9" s="1322">
        <f t="shared" si="15"/>
        <v>0</v>
      </c>
      <c r="S9" s="1472">
        <f t="shared" si="15"/>
        <v>86360</v>
      </c>
      <c r="T9" s="1601">
        <f t="shared" si="15"/>
        <v>68460</v>
      </c>
      <c r="U9" s="1321">
        <f t="shared" si="15"/>
        <v>0</v>
      </c>
      <c r="V9" s="1322">
        <f t="shared" si="15"/>
        <v>0</v>
      </c>
      <c r="W9" s="1472">
        <f t="shared" si="15"/>
        <v>68460</v>
      </c>
      <c r="X9" s="1578">
        <f t="shared" si="13"/>
        <v>100.01460920379839</v>
      </c>
      <c r="Y9" s="2457"/>
      <c r="Z9" s="1136"/>
      <c r="AA9" s="1136"/>
      <c r="AB9" s="1293">
        <f t="shared" si="0"/>
        <v>0</v>
      </c>
      <c r="AC9" s="1293">
        <f t="shared" si="4"/>
        <v>0</v>
      </c>
      <c r="AD9" s="1293">
        <f t="shared" si="10"/>
        <v>10</v>
      </c>
      <c r="AE9" s="1293">
        <f t="shared" si="1"/>
        <v>0</v>
      </c>
      <c r="AF9" s="1294"/>
      <c r="AG9" s="1294"/>
      <c r="AH9" s="1294">
        <f t="shared" si="2"/>
        <v>10</v>
      </c>
      <c r="AI9" s="1294">
        <f t="shared" si="5"/>
        <v>0</v>
      </c>
      <c r="AJ9" s="1293">
        <f t="shared" si="11"/>
        <v>0</v>
      </c>
      <c r="AK9" s="1294"/>
      <c r="AL9" s="1294"/>
      <c r="AM9" s="1294"/>
      <c r="AN9" s="1294"/>
      <c r="AO9" s="1294"/>
      <c r="AP9" s="1294"/>
      <c r="AQ9" s="1294"/>
      <c r="AR9" s="1294">
        <f t="shared" si="3"/>
        <v>0</v>
      </c>
      <c r="AS9" s="1136"/>
      <c r="AT9" s="668">
        <f t="shared" si="6"/>
        <v>0</v>
      </c>
      <c r="AU9" s="463"/>
      <c r="AV9" s="468">
        <f t="shared" si="12"/>
        <v>0</v>
      </c>
      <c r="AW9" s="468">
        <f t="shared" si="7"/>
        <v>68460</v>
      </c>
      <c r="AX9" s="463"/>
      <c r="AY9" s="463"/>
      <c r="AZ9" s="463"/>
      <c r="BA9" s="463"/>
      <c r="BB9" s="463"/>
      <c r="BC9" s="437">
        <f>T9+U9+V9+-W9</f>
        <v>0</v>
      </c>
      <c r="BD9" s="437"/>
      <c r="BE9">
        <f t="shared" si="8"/>
        <v>100.01460920379839</v>
      </c>
      <c r="BF9" s="437">
        <f t="shared" si="9"/>
        <v>0</v>
      </c>
    </row>
    <row r="10" spans="1:60" ht="39" customHeight="1">
      <c r="A10" s="1376"/>
      <c r="B10" s="1377"/>
      <c r="C10" s="1377"/>
      <c r="D10" s="1373">
        <v>111</v>
      </c>
      <c r="E10" s="1373" t="s">
        <v>206</v>
      </c>
      <c r="F10" s="1795" t="s">
        <v>166</v>
      </c>
      <c r="G10" s="1836" t="s">
        <v>657</v>
      </c>
      <c r="H10" s="1599">
        <f t="shared" ref="H10:K10" si="16">SUM(H11:H12)</f>
        <v>30000</v>
      </c>
      <c r="I10" s="1599">
        <f t="shared" si="16"/>
        <v>0</v>
      </c>
      <c r="J10" s="1599">
        <f t="shared" si="16"/>
        <v>0</v>
      </c>
      <c r="K10" s="1600">
        <f t="shared" si="16"/>
        <v>30000</v>
      </c>
      <c r="L10" s="1602">
        <f t="shared" ref="L10:O10" si="17">SUM(L11:L12)</f>
        <v>65000</v>
      </c>
      <c r="M10" s="1303">
        <f t="shared" si="17"/>
        <v>0</v>
      </c>
      <c r="N10" s="1304">
        <f t="shared" si="17"/>
        <v>0</v>
      </c>
      <c r="O10" s="1472">
        <f t="shared" si="17"/>
        <v>65000</v>
      </c>
      <c r="P10" s="1602">
        <f t="shared" ref="P10:W10" si="18">SUM(P11:P12)</f>
        <v>82950</v>
      </c>
      <c r="Q10" s="1303">
        <f t="shared" si="18"/>
        <v>0</v>
      </c>
      <c r="R10" s="1304">
        <f t="shared" si="18"/>
        <v>0</v>
      </c>
      <c r="S10" s="1472">
        <f t="shared" si="18"/>
        <v>82950</v>
      </c>
      <c r="T10" s="1602">
        <f t="shared" si="18"/>
        <v>65000</v>
      </c>
      <c r="U10" s="1303">
        <f t="shared" si="18"/>
        <v>0</v>
      </c>
      <c r="V10" s="1304">
        <f t="shared" si="18"/>
        <v>0</v>
      </c>
      <c r="W10" s="1472">
        <f t="shared" si="18"/>
        <v>65000</v>
      </c>
      <c r="X10" s="1578">
        <f t="shared" si="13"/>
        <v>100</v>
      </c>
      <c r="Y10" s="2457"/>
      <c r="Z10" s="1136"/>
      <c r="AA10" s="1136">
        <f>'[9]PRIH REBALANS'!$AL$320</f>
        <v>65000</v>
      </c>
      <c r="AB10" s="1293">
        <f t="shared" si="0"/>
        <v>0</v>
      </c>
      <c r="AC10" s="1293">
        <f t="shared" si="4"/>
        <v>0</v>
      </c>
      <c r="AD10" s="1293">
        <f t="shared" si="10"/>
        <v>0</v>
      </c>
      <c r="AE10" s="1293">
        <f t="shared" si="1"/>
        <v>0</v>
      </c>
      <c r="AF10" s="1294"/>
      <c r="AG10" s="1294"/>
      <c r="AH10" s="1294">
        <f t="shared" si="2"/>
        <v>0</v>
      </c>
      <c r="AI10" s="1294">
        <f t="shared" si="5"/>
        <v>0</v>
      </c>
      <c r="AJ10" s="1293">
        <f t="shared" si="11"/>
        <v>0</v>
      </c>
      <c r="AK10" s="1294"/>
      <c r="AL10" s="1294"/>
      <c r="AM10" s="1294"/>
      <c r="AN10" s="1294"/>
      <c r="AO10" s="1294"/>
      <c r="AP10" s="1294"/>
      <c r="AQ10" s="1294"/>
      <c r="AR10" s="1294">
        <f t="shared" si="3"/>
        <v>0</v>
      </c>
      <c r="AS10" s="1136">
        <f>SUM(W11:W12)</f>
        <v>65000</v>
      </c>
      <c r="AT10" s="668">
        <f t="shared" si="6"/>
        <v>0</v>
      </c>
      <c r="AU10" s="463">
        <f>SUM(W11:W12)</f>
        <v>65000</v>
      </c>
      <c r="AV10" s="468">
        <f t="shared" si="12"/>
        <v>0</v>
      </c>
      <c r="AW10" s="468">
        <f t="shared" si="7"/>
        <v>65000</v>
      </c>
      <c r="AX10" s="463"/>
      <c r="AY10" s="463"/>
      <c r="AZ10" s="463"/>
      <c r="BA10" s="463"/>
      <c r="BB10" s="463"/>
      <c r="BC10" s="437">
        <f>'[2]PRIH REBALANS'!$AK$340</f>
        <v>65000</v>
      </c>
      <c r="BD10" s="437"/>
      <c r="BE10">
        <f t="shared" si="8"/>
        <v>100</v>
      </c>
      <c r="BF10" s="437">
        <f t="shared" si="9"/>
        <v>0</v>
      </c>
      <c r="BG10" s="209">
        <f>SUM(W11:W12)</f>
        <v>65000</v>
      </c>
    </row>
    <row r="11" spans="1:60" ht="39" customHeight="1">
      <c r="A11" s="1376"/>
      <c r="B11" s="1377"/>
      <c r="C11" s="1377"/>
      <c r="D11" s="1373">
        <v>111</v>
      </c>
      <c r="E11" s="1373"/>
      <c r="F11" s="1796" t="s">
        <v>209</v>
      </c>
      <c r="G11" s="1837" t="s">
        <v>210</v>
      </c>
      <c r="H11" s="1385">
        <v>20000</v>
      </c>
      <c r="I11" s="1385"/>
      <c r="J11" s="1385"/>
      <c r="K11" s="1603">
        <f>SUM(H11:J11)</f>
        <v>20000</v>
      </c>
      <c r="L11" s="1577">
        <v>45000</v>
      </c>
      <c r="M11" s="1301"/>
      <c r="N11" s="1302"/>
      <c r="O11" s="1473">
        <f t="shared" ref="O11:O12" si="19">SUM(L11:N11)</f>
        <v>45000</v>
      </c>
      <c r="P11" s="1577">
        <v>59850</v>
      </c>
      <c r="Q11" s="1301"/>
      <c r="R11" s="1302"/>
      <c r="S11" s="1473">
        <f t="shared" ref="S11:S12" si="20">SUM(P11:R11)</f>
        <v>59850</v>
      </c>
      <c r="T11" s="1577">
        <v>45000</v>
      </c>
      <c r="U11" s="1301"/>
      <c r="V11" s="1302"/>
      <c r="W11" s="1473">
        <f t="shared" ref="W11:W12" si="21">SUM(T11:V11)</f>
        <v>45000</v>
      </c>
      <c r="X11" s="1578">
        <f t="shared" si="13"/>
        <v>100</v>
      </c>
      <c r="Y11" s="2457"/>
      <c r="Z11" s="1136"/>
      <c r="AA11" s="1136"/>
      <c r="AB11" s="1293">
        <f t="shared" si="0"/>
        <v>0</v>
      </c>
      <c r="AC11" s="1293">
        <f t="shared" si="4"/>
        <v>0</v>
      </c>
      <c r="AD11" s="1293">
        <f t="shared" si="10"/>
        <v>0</v>
      </c>
      <c r="AE11" s="1293">
        <f t="shared" si="1"/>
        <v>0</v>
      </c>
      <c r="AF11" s="1294"/>
      <c r="AG11" s="1294"/>
      <c r="AH11" s="1294">
        <f t="shared" si="2"/>
        <v>0</v>
      </c>
      <c r="AI11" s="1294">
        <f t="shared" si="5"/>
        <v>0</v>
      </c>
      <c r="AJ11" s="1293">
        <f t="shared" si="11"/>
        <v>0</v>
      </c>
      <c r="AK11" s="1294"/>
      <c r="AL11" s="1294"/>
      <c r="AM11" s="1294"/>
      <c r="AN11" s="1294"/>
      <c r="AO11" s="1294"/>
      <c r="AP11" s="1294"/>
      <c r="AQ11" s="1294"/>
      <c r="AR11" s="1294">
        <f t="shared" si="3"/>
        <v>0</v>
      </c>
      <c r="AS11" s="1136"/>
      <c r="AT11" s="668">
        <f t="shared" si="6"/>
        <v>0</v>
      </c>
      <c r="AU11" s="463"/>
      <c r="AV11" s="468">
        <f t="shared" si="12"/>
        <v>0</v>
      </c>
      <c r="AW11" s="468">
        <f t="shared" si="7"/>
        <v>45000</v>
      </c>
      <c r="AX11" s="272"/>
      <c r="AY11" s="272"/>
      <c r="AZ11" s="272"/>
      <c r="BA11" s="272"/>
      <c r="BB11" s="272"/>
      <c r="BC11" s="437">
        <f>T11+U11+V11+-W11</f>
        <v>0</v>
      </c>
      <c r="BD11" s="437"/>
      <c r="BE11">
        <f t="shared" si="8"/>
        <v>100</v>
      </c>
      <c r="BF11" s="437">
        <f t="shared" si="9"/>
        <v>0</v>
      </c>
    </row>
    <row r="12" spans="1:60" ht="39" customHeight="1">
      <c r="A12" s="1376"/>
      <c r="B12" s="1377"/>
      <c r="C12" s="1377"/>
      <c r="D12" s="1373">
        <v>111</v>
      </c>
      <c r="E12" s="1373"/>
      <c r="F12" s="1796" t="s">
        <v>211</v>
      </c>
      <c r="G12" s="1838" t="s">
        <v>659</v>
      </c>
      <c r="H12" s="1385">
        <v>10000</v>
      </c>
      <c r="I12" s="1385"/>
      <c r="J12" s="1385"/>
      <c r="K12" s="1603">
        <f>SUM(H12:J12)</f>
        <v>10000</v>
      </c>
      <c r="L12" s="1577">
        <v>20000</v>
      </c>
      <c r="M12" s="1301"/>
      <c r="N12" s="1302"/>
      <c r="O12" s="1473">
        <f t="shared" si="19"/>
        <v>20000</v>
      </c>
      <c r="P12" s="1577">
        <v>23100</v>
      </c>
      <c r="Q12" s="1301"/>
      <c r="R12" s="1302"/>
      <c r="S12" s="1473">
        <f t="shared" si="20"/>
        <v>23100</v>
      </c>
      <c r="T12" s="1577">
        <v>20000</v>
      </c>
      <c r="U12" s="1301"/>
      <c r="V12" s="1302"/>
      <c r="W12" s="1473">
        <f t="shared" si="21"/>
        <v>20000</v>
      </c>
      <c r="X12" s="1578">
        <f t="shared" si="13"/>
        <v>100</v>
      </c>
      <c r="Y12" s="2457"/>
      <c r="Z12" s="1136"/>
      <c r="AA12" s="1136"/>
      <c r="AB12" s="1293">
        <f t="shared" si="0"/>
        <v>0</v>
      </c>
      <c r="AC12" s="1293">
        <f t="shared" si="4"/>
        <v>0</v>
      </c>
      <c r="AD12" s="1293">
        <f t="shared" si="10"/>
        <v>0</v>
      </c>
      <c r="AE12" s="1293">
        <f t="shared" si="1"/>
        <v>0</v>
      </c>
      <c r="AF12" s="1294"/>
      <c r="AG12" s="1294"/>
      <c r="AH12" s="1294">
        <f t="shared" si="2"/>
        <v>0</v>
      </c>
      <c r="AI12" s="1294">
        <f t="shared" si="5"/>
        <v>0</v>
      </c>
      <c r="AJ12" s="1293">
        <f t="shared" si="11"/>
        <v>0</v>
      </c>
      <c r="AK12" s="1294"/>
      <c r="AL12" s="1294"/>
      <c r="AM12" s="1294"/>
      <c r="AN12" s="1294"/>
      <c r="AO12" s="1294"/>
      <c r="AP12" s="1294"/>
      <c r="AQ12" s="1294"/>
      <c r="AR12" s="1294">
        <f t="shared" si="3"/>
        <v>0</v>
      </c>
      <c r="AS12" s="1136"/>
      <c r="AT12" s="668">
        <f t="shared" si="6"/>
        <v>0</v>
      </c>
      <c r="AU12" s="463"/>
      <c r="AV12" s="468">
        <f t="shared" si="12"/>
        <v>0</v>
      </c>
      <c r="AW12" s="468">
        <f t="shared" si="7"/>
        <v>20000</v>
      </c>
      <c r="AX12" s="272"/>
      <c r="AY12" s="272"/>
      <c r="AZ12" s="272"/>
      <c r="BA12" s="272"/>
      <c r="BB12" s="272"/>
      <c r="BC12" s="437">
        <f>T12+U12+V12+-W12</f>
        <v>0</v>
      </c>
      <c r="BD12" s="437"/>
      <c r="BE12">
        <f t="shared" si="8"/>
        <v>100</v>
      </c>
      <c r="BF12" s="437">
        <f t="shared" si="9"/>
        <v>0</v>
      </c>
    </row>
    <row r="13" spans="1:60" ht="39" customHeight="1">
      <c r="A13" s="1376"/>
      <c r="B13" s="1377"/>
      <c r="C13" s="1377"/>
      <c r="D13" s="1373">
        <v>111</v>
      </c>
      <c r="E13" s="1373" t="s">
        <v>206</v>
      </c>
      <c r="F13" s="1795">
        <v>611200</v>
      </c>
      <c r="G13" s="1836" t="s">
        <v>213</v>
      </c>
      <c r="H13" s="1599">
        <f t="shared" ref="H13:K13" si="22">SUM(H14:H15)</f>
        <v>1700</v>
      </c>
      <c r="I13" s="1599">
        <f t="shared" si="22"/>
        <v>0</v>
      </c>
      <c r="J13" s="1599">
        <f t="shared" si="22"/>
        <v>0</v>
      </c>
      <c r="K13" s="1600">
        <f t="shared" si="22"/>
        <v>1700</v>
      </c>
      <c r="L13" s="1602">
        <f>SUM(L14:L16)</f>
        <v>3450</v>
      </c>
      <c r="M13" s="1303"/>
      <c r="N13" s="1304"/>
      <c r="O13" s="1472">
        <f>SUM(O14:O16)</f>
        <v>3450</v>
      </c>
      <c r="P13" s="1602">
        <f>SUM(P14:P16)</f>
        <v>3410</v>
      </c>
      <c r="Q13" s="1303"/>
      <c r="R13" s="1304"/>
      <c r="S13" s="1472">
        <f>SUM(S14:S16)</f>
        <v>3410</v>
      </c>
      <c r="T13" s="1602">
        <f>SUM(T14:T16)</f>
        <v>3460</v>
      </c>
      <c r="U13" s="1303"/>
      <c r="V13" s="1304"/>
      <c r="W13" s="1472">
        <f>SUM(W14:W16)</f>
        <v>3460</v>
      </c>
      <c r="X13" s="1578">
        <f t="shared" si="13"/>
        <v>100.28985507246378</v>
      </c>
      <c r="Y13" s="2457"/>
      <c r="Z13" s="1136"/>
      <c r="AA13" s="1136">
        <f>'[9]PRIH REBALANS'!$AK$323</f>
        <v>3460</v>
      </c>
      <c r="AB13" s="1293">
        <f t="shared" si="0"/>
        <v>0</v>
      </c>
      <c r="AC13" s="1293">
        <f t="shared" si="4"/>
        <v>0</v>
      </c>
      <c r="AD13" s="1293">
        <f t="shared" si="10"/>
        <v>10</v>
      </c>
      <c r="AE13" s="1293">
        <f t="shared" si="1"/>
        <v>0</v>
      </c>
      <c r="AF13" s="1294"/>
      <c r="AG13" s="1294"/>
      <c r="AH13" s="1294">
        <f t="shared" si="2"/>
        <v>10</v>
      </c>
      <c r="AI13" s="1294">
        <f t="shared" si="5"/>
        <v>0</v>
      </c>
      <c r="AJ13" s="1293">
        <f t="shared" si="11"/>
        <v>0</v>
      </c>
      <c r="AK13" s="1294"/>
      <c r="AL13" s="1294"/>
      <c r="AM13" s="1294"/>
      <c r="AN13" s="1294"/>
      <c r="AO13" s="1294"/>
      <c r="AP13" s="1294"/>
      <c r="AQ13" s="1294"/>
      <c r="AR13" s="1294">
        <f t="shared" si="3"/>
        <v>0</v>
      </c>
      <c r="AS13" s="1136">
        <f>SUM(W14:W16)</f>
        <v>3460</v>
      </c>
      <c r="AT13" s="668">
        <f t="shared" si="6"/>
        <v>0</v>
      </c>
      <c r="AU13" s="463">
        <f>SUM(W14:W16)</f>
        <v>3460</v>
      </c>
      <c r="AV13" s="468">
        <f t="shared" si="12"/>
        <v>0</v>
      </c>
      <c r="AW13" s="468">
        <f t="shared" si="7"/>
        <v>3460</v>
      </c>
      <c r="AX13" s="463"/>
      <c r="AY13" s="463"/>
      <c r="AZ13" s="463"/>
      <c r="BA13" s="463"/>
      <c r="BB13" s="463"/>
      <c r="BC13" s="437">
        <f>'[2]PRIH REBALANS'!$AK$343</f>
        <v>3450</v>
      </c>
      <c r="BD13" s="437"/>
      <c r="BE13">
        <f t="shared" si="8"/>
        <v>100.28985507246378</v>
      </c>
      <c r="BF13" s="437">
        <f t="shared" si="9"/>
        <v>0</v>
      </c>
      <c r="BG13" s="209">
        <f>SUM(W14:W16)</f>
        <v>3460</v>
      </c>
    </row>
    <row r="14" spans="1:60" ht="39" customHeight="1">
      <c r="A14" s="1376"/>
      <c r="B14" s="1377"/>
      <c r="C14" s="1377"/>
      <c r="D14" s="1373">
        <v>111</v>
      </c>
      <c r="E14" s="1373"/>
      <c r="F14" s="1796">
        <v>611211</v>
      </c>
      <c r="G14" s="1838" t="s">
        <v>660</v>
      </c>
      <c r="H14" s="1385">
        <v>200</v>
      </c>
      <c r="I14" s="1385"/>
      <c r="J14" s="1385"/>
      <c r="K14" s="1603">
        <f>SUM(H14:J14)</f>
        <v>200</v>
      </c>
      <c r="L14" s="1577">
        <v>750</v>
      </c>
      <c r="M14" s="1305"/>
      <c r="N14" s="1306"/>
      <c r="O14" s="1473">
        <f t="shared" ref="O14:O16" si="23">SUM(L14:N14)</f>
        <v>750</v>
      </c>
      <c r="P14" s="1577">
        <v>500</v>
      </c>
      <c r="Q14" s="1305"/>
      <c r="R14" s="1306"/>
      <c r="S14" s="1473">
        <f t="shared" ref="S14:S16" si="24">SUM(P14:R14)</f>
        <v>500</v>
      </c>
      <c r="T14" s="1577">
        <v>750</v>
      </c>
      <c r="U14" s="1305"/>
      <c r="V14" s="1306"/>
      <c r="W14" s="1473">
        <f t="shared" ref="W14:W16" si="25">SUM(T14:V14)</f>
        <v>750</v>
      </c>
      <c r="X14" s="1578">
        <f t="shared" si="13"/>
        <v>100</v>
      </c>
      <c r="Y14" s="2457"/>
      <c r="Z14" s="1136"/>
      <c r="AA14" s="1136"/>
      <c r="AB14" s="1293">
        <f t="shared" si="0"/>
        <v>0</v>
      </c>
      <c r="AC14" s="1293">
        <f t="shared" si="4"/>
        <v>0</v>
      </c>
      <c r="AD14" s="1293">
        <f t="shared" si="10"/>
        <v>0</v>
      </c>
      <c r="AE14" s="1293">
        <f t="shared" si="1"/>
        <v>0</v>
      </c>
      <c r="AF14" s="1294"/>
      <c r="AG14" s="1294"/>
      <c r="AH14" s="1294">
        <f t="shared" si="2"/>
        <v>0</v>
      </c>
      <c r="AI14" s="1294">
        <f t="shared" si="5"/>
        <v>0</v>
      </c>
      <c r="AJ14" s="1293">
        <f t="shared" si="11"/>
        <v>0</v>
      </c>
      <c r="AK14" s="1294"/>
      <c r="AL14" s="1294"/>
      <c r="AM14" s="1294"/>
      <c r="AN14" s="1294"/>
      <c r="AO14" s="1294"/>
      <c r="AP14" s="1294"/>
      <c r="AQ14" s="1294"/>
      <c r="AR14" s="1294">
        <f t="shared" si="3"/>
        <v>0</v>
      </c>
      <c r="AS14" s="1136"/>
      <c r="AT14" s="668">
        <f t="shared" si="6"/>
        <v>0</v>
      </c>
      <c r="AU14" s="463"/>
      <c r="AV14" s="468">
        <f t="shared" si="12"/>
        <v>0</v>
      </c>
      <c r="AW14" s="468">
        <f t="shared" si="7"/>
        <v>750</v>
      </c>
      <c r="AX14" s="272"/>
      <c r="AY14" s="272"/>
      <c r="AZ14" s="272"/>
      <c r="BA14" s="272"/>
      <c r="BB14" s="272"/>
      <c r="BC14" s="437">
        <f>T14+U14+V14+-W14</f>
        <v>0</v>
      </c>
      <c r="BD14" s="437"/>
      <c r="BE14">
        <f t="shared" si="8"/>
        <v>100</v>
      </c>
      <c r="BF14" s="437">
        <f t="shared" si="9"/>
        <v>0</v>
      </c>
    </row>
    <row r="15" spans="1:60" ht="39" customHeight="1">
      <c r="A15" s="1376"/>
      <c r="B15" s="1377"/>
      <c r="C15" s="1377"/>
      <c r="D15" s="1373">
        <v>111</v>
      </c>
      <c r="E15" s="1373"/>
      <c r="F15" s="1797">
        <v>611221</v>
      </c>
      <c r="G15" s="1837" t="s">
        <v>661</v>
      </c>
      <c r="H15" s="1575">
        <v>1500</v>
      </c>
      <c r="I15" s="1385"/>
      <c r="J15" s="1385"/>
      <c r="K15" s="1603">
        <f>SUM(H15:J15)</f>
        <v>1500</v>
      </c>
      <c r="L15" s="1577">
        <v>2200</v>
      </c>
      <c r="M15" s="1305"/>
      <c r="N15" s="1306"/>
      <c r="O15" s="1473">
        <f t="shared" si="23"/>
        <v>2200</v>
      </c>
      <c r="P15" s="1577">
        <v>2400</v>
      </c>
      <c r="Q15" s="1305"/>
      <c r="R15" s="1306"/>
      <c r="S15" s="1473">
        <f t="shared" si="24"/>
        <v>2400</v>
      </c>
      <c r="T15" s="1577">
        <v>2200</v>
      </c>
      <c r="U15" s="1305"/>
      <c r="V15" s="1306"/>
      <c r="W15" s="1473">
        <f t="shared" si="25"/>
        <v>2200</v>
      </c>
      <c r="X15" s="1578">
        <f t="shared" si="13"/>
        <v>100</v>
      </c>
      <c r="Y15" s="2457"/>
      <c r="Z15" s="1136"/>
      <c r="AA15" s="1136"/>
      <c r="AB15" s="1293">
        <f t="shared" si="0"/>
        <v>0</v>
      </c>
      <c r="AC15" s="1293">
        <f t="shared" si="4"/>
        <v>0</v>
      </c>
      <c r="AD15" s="1293">
        <f t="shared" si="10"/>
        <v>0</v>
      </c>
      <c r="AE15" s="1293">
        <f t="shared" si="1"/>
        <v>0</v>
      </c>
      <c r="AF15" s="1294"/>
      <c r="AG15" s="1294"/>
      <c r="AH15" s="1294">
        <f t="shared" si="2"/>
        <v>0</v>
      </c>
      <c r="AI15" s="1294">
        <f t="shared" si="5"/>
        <v>0</v>
      </c>
      <c r="AJ15" s="1293">
        <f t="shared" si="11"/>
        <v>0</v>
      </c>
      <c r="AK15" s="1294"/>
      <c r="AL15" s="1294"/>
      <c r="AM15" s="1294"/>
      <c r="AN15" s="1294"/>
      <c r="AO15" s="1294"/>
      <c r="AP15" s="1294"/>
      <c r="AQ15" s="1294"/>
      <c r="AR15" s="1294">
        <f t="shared" si="3"/>
        <v>0</v>
      </c>
      <c r="AS15" s="1136"/>
      <c r="AT15" s="668">
        <f t="shared" si="6"/>
        <v>0</v>
      </c>
      <c r="AU15" s="463"/>
      <c r="AV15" s="468">
        <f t="shared" si="12"/>
        <v>0</v>
      </c>
      <c r="AW15" s="468">
        <f t="shared" si="7"/>
        <v>2200</v>
      </c>
      <c r="AX15" s="272"/>
      <c r="AY15" s="272"/>
      <c r="AZ15" s="272"/>
      <c r="BA15" s="272"/>
      <c r="BB15" s="272"/>
      <c r="BC15" s="437">
        <f>T15+U15+V15+-W15</f>
        <v>0</v>
      </c>
      <c r="BD15" s="437"/>
      <c r="BE15">
        <f t="shared" si="8"/>
        <v>100</v>
      </c>
      <c r="BF15" s="437">
        <f t="shared" si="9"/>
        <v>0</v>
      </c>
    </row>
    <row r="16" spans="1:60" ht="39" customHeight="1">
      <c r="A16" s="1376"/>
      <c r="B16" s="1377"/>
      <c r="C16" s="1377"/>
      <c r="D16" s="1373">
        <v>111</v>
      </c>
      <c r="E16" s="1373"/>
      <c r="F16" s="1798">
        <v>611224</v>
      </c>
      <c r="G16" s="1839" t="s">
        <v>214</v>
      </c>
      <c r="H16" s="1605"/>
      <c r="I16" s="1385"/>
      <c r="J16" s="1385"/>
      <c r="K16" s="1603"/>
      <c r="L16" s="1577">
        <v>500</v>
      </c>
      <c r="M16" s="1305"/>
      <c r="N16" s="1306"/>
      <c r="O16" s="1473">
        <f t="shared" si="23"/>
        <v>500</v>
      </c>
      <c r="P16" s="1577">
        <v>510</v>
      </c>
      <c r="Q16" s="1305"/>
      <c r="R16" s="1306"/>
      <c r="S16" s="1473">
        <f t="shared" si="24"/>
        <v>510</v>
      </c>
      <c r="T16" s="1577">
        <v>510</v>
      </c>
      <c r="U16" s="1305"/>
      <c r="V16" s="1306"/>
      <c r="W16" s="1473">
        <f t="shared" si="25"/>
        <v>510</v>
      </c>
      <c r="X16" s="1578">
        <f t="shared" si="13"/>
        <v>102</v>
      </c>
      <c r="Y16" s="2457"/>
      <c r="Z16" s="1136"/>
      <c r="AA16" s="1136"/>
      <c r="AB16" s="1293">
        <f t="shared" si="0"/>
        <v>0</v>
      </c>
      <c r="AC16" s="1293">
        <f t="shared" si="4"/>
        <v>0</v>
      </c>
      <c r="AD16" s="1293">
        <f t="shared" si="10"/>
        <v>10</v>
      </c>
      <c r="AE16" s="1293">
        <f t="shared" si="1"/>
        <v>0</v>
      </c>
      <c r="AF16" s="1294"/>
      <c r="AG16" s="1294"/>
      <c r="AH16" s="1294">
        <f t="shared" si="2"/>
        <v>10</v>
      </c>
      <c r="AI16" s="1294">
        <f t="shared" si="5"/>
        <v>0</v>
      </c>
      <c r="AJ16" s="1293">
        <f t="shared" si="11"/>
        <v>0</v>
      </c>
      <c r="AK16" s="1294"/>
      <c r="AL16" s="1294"/>
      <c r="AM16" s="1294"/>
      <c r="AN16" s="1294"/>
      <c r="AO16" s="1294"/>
      <c r="AP16" s="1294"/>
      <c r="AQ16" s="1294"/>
      <c r="AR16" s="1294">
        <f t="shared" si="3"/>
        <v>0</v>
      </c>
      <c r="AS16" s="1136"/>
      <c r="AT16" s="668">
        <f t="shared" si="6"/>
        <v>0</v>
      </c>
      <c r="AU16" s="463"/>
      <c r="AV16" s="468">
        <f t="shared" si="12"/>
        <v>0</v>
      </c>
      <c r="AW16" s="468">
        <f t="shared" si="7"/>
        <v>510</v>
      </c>
      <c r="AX16" s="669"/>
      <c r="AY16" s="669"/>
      <c r="AZ16" s="669"/>
      <c r="BA16" s="669"/>
      <c r="BB16" s="669"/>
      <c r="BC16" s="437">
        <f>T16+U16+V16+-W16</f>
        <v>0</v>
      </c>
      <c r="BD16" s="437"/>
      <c r="BE16">
        <f t="shared" si="8"/>
        <v>102</v>
      </c>
      <c r="BF16" s="437">
        <f t="shared" si="9"/>
        <v>0</v>
      </c>
    </row>
    <row r="17" spans="1:59" ht="39" customHeight="1">
      <c r="A17" s="1376"/>
      <c r="B17" s="1377"/>
      <c r="C17" s="1377"/>
      <c r="D17" s="1373">
        <v>111</v>
      </c>
      <c r="E17" s="1373"/>
      <c r="F17" s="1795">
        <v>612000</v>
      </c>
      <c r="G17" s="1836" t="s">
        <v>216</v>
      </c>
      <c r="H17" s="1380">
        <f t="shared" ref="H17:K17" si="26">SUM(H18)</f>
        <v>10000</v>
      </c>
      <c r="I17" s="1380">
        <f t="shared" si="26"/>
        <v>0</v>
      </c>
      <c r="J17" s="1380">
        <f t="shared" si="26"/>
        <v>0</v>
      </c>
      <c r="K17" s="1600">
        <f t="shared" si="26"/>
        <v>10000</v>
      </c>
      <c r="L17" s="1602">
        <f t="shared" ref="L17:O17" si="27">SUM(L18)</f>
        <v>10000</v>
      </c>
      <c r="M17" s="1303">
        <f t="shared" si="27"/>
        <v>0</v>
      </c>
      <c r="N17" s="1304">
        <f t="shared" si="27"/>
        <v>0</v>
      </c>
      <c r="O17" s="1472">
        <f t="shared" si="27"/>
        <v>10000</v>
      </c>
      <c r="P17" s="1602">
        <f>SUM(P18)</f>
        <v>11550</v>
      </c>
      <c r="Q17" s="1303"/>
      <c r="R17" s="1304"/>
      <c r="S17" s="1472">
        <f>SUM(S18)</f>
        <v>11550</v>
      </c>
      <c r="T17" s="1602">
        <f>SUM(T18)</f>
        <v>10000</v>
      </c>
      <c r="U17" s="1303">
        <f t="shared" ref="U17:W17" si="28">SUM(U18)</f>
        <v>0</v>
      </c>
      <c r="V17" s="1304">
        <f t="shared" si="28"/>
        <v>0</v>
      </c>
      <c r="W17" s="1472">
        <f t="shared" si="28"/>
        <v>10000</v>
      </c>
      <c r="X17" s="1578">
        <f t="shared" si="13"/>
        <v>100</v>
      </c>
      <c r="Y17" s="2457"/>
      <c r="Z17" s="1136"/>
      <c r="AA17" s="1136">
        <f>'[9]PRIH REBALANS'!$AK$329</f>
        <v>10000</v>
      </c>
      <c r="AB17" s="1293">
        <f t="shared" si="0"/>
        <v>0</v>
      </c>
      <c r="AC17" s="1293">
        <f t="shared" si="4"/>
        <v>0</v>
      </c>
      <c r="AD17" s="1293">
        <f t="shared" si="10"/>
        <v>0</v>
      </c>
      <c r="AE17" s="1293">
        <f t="shared" si="1"/>
        <v>0</v>
      </c>
      <c r="AF17" s="1294"/>
      <c r="AG17" s="1294"/>
      <c r="AH17" s="1294">
        <f t="shared" si="2"/>
        <v>0</v>
      </c>
      <c r="AI17" s="1294">
        <f t="shared" si="5"/>
        <v>0</v>
      </c>
      <c r="AJ17" s="1293">
        <f t="shared" si="11"/>
        <v>0</v>
      </c>
      <c r="AK17" s="1294"/>
      <c r="AL17" s="1294"/>
      <c r="AM17" s="1294"/>
      <c r="AN17" s="1294"/>
      <c r="AO17" s="1294"/>
      <c r="AP17" s="1294"/>
      <c r="AQ17" s="1294"/>
      <c r="AR17" s="1294">
        <f t="shared" si="3"/>
        <v>0</v>
      </c>
      <c r="AS17" s="1136">
        <f>SUM(W18)</f>
        <v>10000</v>
      </c>
      <c r="AT17" s="668">
        <f t="shared" si="6"/>
        <v>0</v>
      </c>
      <c r="AU17" s="463">
        <f>SUM(W18)</f>
        <v>10000</v>
      </c>
      <c r="AV17" s="468">
        <f t="shared" si="12"/>
        <v>0</v>
      </c>
      <c r="AW17" s="468">
        <f t="shared" si="7"/>
        <v>10000</v>
      </c>
      <c r="AX17" s="669"/>
      <c r="AY17" s="669"/>
      <c r="AZ17" s="669"/>
      <c r="BA17" s="669"/>
      <c r="BB17" s="669"/>
      <c r="BC17" s="437">
        <f>'[2]PRIH REBALANS'!$AK$349</f>
        <v>10000</v>
      </c>
      <c r="BD17" s="437"/>
      <c r="BE17">
        <f t="shared" si="8"/>
        <v>100</v>
      </c>
      <c r="BF17" s="437">
        <f t="shared" si="9"/>
        <v>0</v>
      </c>
      <c r="BG17" s="209">
        <f>W18</f>
        <v>10000</v>
      </c>
    </row>
    <row r="18" spans="1:59" ht="39" customHeight="1">
      <c r="A18" s="1376"/>
      <c r="B18" s="1377"/>
      <c r="C18" s="1377"/>
      <c r="D18" s="1373">
        <v>111</v>
      </c>
      <c r="E18" s="1373"/>
      <c r="F18" s="1796">
        <v>612110</v>
      </c>
      <c r="G18" s="1838" t="s">
        <v>217</v>
      </c>
      <c r="H18" s="1575">
        <v>10000</v>
      </c>
      <c r="I18" s="1385"/>
      <c r="J18" s="1385"/>
      <c r="K18" s="1603">
        <f>SUM(H18:J18)</f>
        <v>10000</v>
      </c>
      <c r="L18" s="1577">
        <v>10000</v>
      </c>
      <c r="M18" s="1305"/>
      <c r="N18" s="1306"/>
      <c r="O18" s="1473">
        <f>SUM(L18:N18)</f>
        <v>10000</v>
      </c>
      <c r="P18" s="1577">
        <v>11550</v>
      </c>
      <c r="Q18" s="1305"/>
      <c r="R18" s="1306"/>
      <c r="S18" s="1473">
        <f>SUM(P18:R18)</f>
        <v>11550</v>
      </c>
      <c r="T18" s="1577">
        <v>10000</v>
      </c>
      <c r="U18" s="1305"/>
      <c r="V18" s="1306"/>
      <c r="W18" s="1473">
        <f>SUM(T18:V18)</f>
        <v>10000</v>
      </c>
      <c r="X18" s="1578">
        <f t="shared" si="13"/>
        <v>100</v>
      </c>
      <c r="Y18" s="2457"/>
      <c r="Z18" s="1136"/>
      <c r="AA18" s="1136"/>
      <c r="AB18" s="1293">
        <f t="shared" si="0"/>
        <v>0</v>
      </c>
      <c r="AC18" s="1293">
        <f t="shared" si="4"/>
        <v>0</v>
      </c>
      <c r="AD18" s="1293">
        <f t="shared" si="10"/>
        <v>0</v>
      </c>
      <c r="AE18" s="1293">
        <f t="shared" si="1"/>
        <v>0</v>
      </c>
      <c r="AF18" s="1294"/>
      <c r="AG18" s="1294"/>
      <c r="AH18" s="1294">
        <f t="shared" si="2"/>
        <v>0</v>
      </c>
      <c r="AI18" s="1294">
        <f t="shared" si="5"/>
        <v>0</v>
      </c>
      <c r="AJ18" s="1293">
        <f t="shared" si="11"/>
        <v>0</v>
      </c>
      <c r="AK18" s="1294"/>
      <c r="AL18" s="1294"/>
      <c r="AM18" s="1294"/>
      <c r="AN18" s="1294"/>
      <c r="AO18" s="1294"/>
      <c r="AP18" s="1294"/>
      <c r="AQ18" s="1294"/>
      <c r="AR18" s="1294">
        <f t="shared" si="3"/>
        <v>0</v>
      </c>
      <c r="AS18" s="1136"/>
      <c r="AT18" s="668">
        <f t="shared" si="6"/>
        <v>0</v>
      </c>
      <c r="AU18" s="463"/>
      <c r="AV18" s="468">
        <f t="shared" si="12"/>
        <v>0</v>
      </c>
      <c r="AW18" s="468">
        <f t="shared" si="7"/>
        <v>10000</v>
      </c>
      <c r="AX18" s="670"/>
      <c r="AY18" s="670"/>
      <c r="AZ18" s="670"/>
      <c r="BA18" s="670"/>
      <c r="BB18" s="670"/>
      <c r="BC18" s="437">
        <f>T18+U18+V18+-W18</f>
        <v>0</v>
      </c>
      <c r="BD18" s="437"/>
      <c r="BE18">
        <f t="shared" si="8"/>
        <v>100</v>
      </c>
      <c r="BF18" s="437">
        <f t="shared" si="9"/>
        <v>0</v>
      </c>
    </row>
    <row r="19" spans="1:59" ht="39" customHeight="1">
      <c r="A19" s="1376"/>
      <c r="B19" s="1377"/>
      <c r="C19" s="1377"/>
      <c r="D19" s="1373">
        <v>111</v>
      </c>
      <c r="E19" s="1373"/>
      <c r="F19" s="1799">
        <v>613000</v>
      </c>
      <c r="G19" s="1840" t="s">
        <v>169</v>
      </c>
      <c r="H19" s="1380">
        <f t="shared" ref="H19:K19" si="29">SUM(H20:H26)</f>
        <v>427300</v>
      </c>
      <c r="I19" s="1380">
        <f t="shared" si="29"/>
        <v>0</v>
      </c>
      <c r="J19" s="1380">
        <f t="shared" si="29"/>
        <v>0</v>
      </c>
      <c r="K19" s="1600">
        <f t="shared" si="29"/>
        <v>427300</v>
      </c>
      <c r="L19" s="1602">
        <f>SUM(L20:L26)</f>
        <v>878000</v>
      </c>
      <c r="M19" s="1303">
        <f t="shared" ref="M19:N19" si="30">SUM(M20:M26)</f>
        <v>95000</v>
      </c>
      <c r="N19" s="1304">
        <f t="shared" si="30"/>
        <v>0</v>
      </c>
      <c r="O19" s="1472">
        <f>SUM(O20:O26)</f>
        <v>973000</v>
      </c>
      <c r="P19" s="1602">
        <f>SUM(P20:P26)</f>
        <v>1018400</v>
      </c>
      <c r="Q19" s="1303">
        <f>SUM(Q20:Q26)</f>
        <v>80000</v>
      </c>
      <c r="R19" s="1304"/>
      <c r="S19" s="1472">
        <f>SUM(S20:S26)</f>
        <v>1098400</v>
      </c>
      <c r="T19" s="1602">
        <f>SUM(T20:T26)</f>
        <v>798000</v>
      </c>
      <c r="U19" s="1303">
        <f t="shared" ref="U19:V19" si="31">SUM(U20:U26)</f>
        <v>90000</v>
      </c>
      <c r="V19" s="1304">
        <f t="shared" si="31"/>
        <v>250000</v>
      </c>
      <c r="W19" s="1472">
        <f>SUM(W20:W26)</f>
        <v>1138000</v>
      </c>
      <c r="X19" s="1578">
        <f t="shared" si="13"/>
        <v>116.9578622816033</v>
      </c>
      <c r="Y19" s="2457">
        <f>'[1]PRIH REBALANS'!$AK$331</f>
        <v>1138000</v>
      </c>
      <c r="Z19" s="1136"/>
      <c r="AA19" s="1136">
        <f>'[9]PRIH REBALANS'!$AK$331</f>
        <v>1138000</v>
      </c>
      <c r="AB19" s="1293">
        <f t="shared" si="0"/>
        <v>0</v>
      </c>
      <c r="AC19" s="1293">
        <f t="shared" si="4"/>
        <v>0</v>
      </c>
      <c r="AD19" s="1293">
        <f t="shared" si="10"/>
        <v>165000</v>
      </c>
      <c r="AE19" s="1293">
        <f t="shared" si="1"/>
        <v>0</v>
      </c>
      <c r="AF19" s="1294"/>
      <c r="AG19" s="1294"/>
      <c r="AH19" s="1294">
        <f t="shared" si="2"/>
        <v>-80000</v>
      </c>
      <c r="AI19" s="1294">
        <f t="shared" si="5"/>
        <v>0</v>
      </c>
      <c r="AJ19" s="1293">
        <f t="shared" si="11"/>
        <v>0</v>
      </c>
      <c r="AK19" s="1294"/>
      <c r="AL19" s="1294"/>
      <c r="AM19" s="1294"/>
      <c r="AN19" s="1294"/>
      <c r="AO19" s="1294"/>
      <c r="AP19" s="1294"/>
      <c r="AQ19" s="1294"/>
      <c r="AR19" s="1294">
        <f t="shared" si="3"/>
        <v>0</v>
      </c>
      <c r="AS19" s="1136">
        <f>SUM(W20:W26)</f>
        <v>1138000</v>
      </c>
      <c r="AT19" s="668">
        <f t="shared" si="6"/>
        <v>0</v>
      </c>
      <c r="AU19" s="463">
        <f>SUM(W20:W26)</f>
        <v>1138000</v>
      </c>
      <c r="AV19" s="468">
        <f t="shared" si="12"/>
        <v>0</v>
      </c>
      <c r="AW19" s="468">
        <f t="shared" si="7"/>
        <v>1138000</v>
      </c>
      <c r="AX19" s="463"/>
      <c r="AY19" s="463"/>
      <c r="AZ19" s="463"/>
      <c r="BA19" s="463"/>
      <c r="BB19" s="463"/>
      <c r="BC19" s="437">
        <f>'[2]PRIH REBALANS'!$AK$351</f>
        <v>973000</v>
      </c>
      <c r="BD19" s="437"/>
      <c r="BE19">
        <f t="shared" si="8"/>
        <v>116.9578622816033</v>
      </c>
      <c r="BF19" s="437">
        <f t="shared" si="9"/>
        <v>0</v>
      </c>
      <c r="BG19" s="209">
        <f>SUM(W20:W26)</f>
        <v>1138000</v>
      </c>
    </row>
    <row r="20" spans="1:59" ht="39" customHeight="1">
      <c r="A20" s="1376"/>
      <c r="B20" s="1377"/>
      <c r="C20" s="1377"/>
      <c r="D20" s="1373">
        <v>111</v>
      </c>
      <c r="E20" s="1607"/>
      <c r="F20" s="1797">
        <v>613100</v>
      </c>
      <c r="G20" s="1837" t="s">
        <v>170</v>
      </c>
      <c r="H20" s="1608">
        <v>7000</v>
      </c>
      <c r="I20" s="1386"/>
      <c r="J20" s="1386"/>
      <c r="K20" s="1603">
        <f t="shared" ref="K20:K25" si="32">SUM(H20:J20)</f>
        <v>7000</v>
      </c>
      <c r="L20" s="1609">
        <v>5000</v>
      </c>
      <c r="M20" s="1307"/>
      <c r="N20" s="1308"/>
      <c r="O20" s="1473">
        <f t="shared" ref="O20:O25" si="33">SUM(L20:N20)</f>
        <v>5000</v>
      </c>
      <c r="P20" s="1609">
        <v>10000</v>
      </c>
      <c r="Q20" s="1307"/>
      <c r="R20" s="1308"/>
      <c r="S20" s="1473">
        <f t="shared" ref="S20:S25" si="34">SUM(P20:R20)</f>
        <v>10000</v>
      </c>
      <c r="T20" s="1609">
        <v>10000</v>
      </c>
      <c r="U20" s="1307"/>
      <c r="V20" s="1308"/>
      <c r="W20" s="1473">
        <f t="shared" ref="W20:W25" si="35">SUM(T20:V20)</f>
        <v>10000</v>
      </c>
      <c r="X20" s="1578">
        <f t="shared" si="13"/>
        <v>200</v>
      </c>
      <c r="Y20" s="2457"/>
      <c r="Z20" s="1136"/>
      <c r="AA20" s="1136"/>
      <c r="AB20" s="1293">
        <f t="shared" si="0"/>
        <v>0</v>
      </c>
      <c r="AC20" s="1293">
        <f t="shared" si="4"/>
        <v>0</v>
      </c>
      <c r="AD20" s="1293">
        <f t="shared" si="10"/>
        <v>5000</v>
      </c>
      <c r="AE20" s="1293">
        <f t="shared" si="1"/>
        <v>0</v>
      </c>
      <c r="AF20" s="1294"/>
      <c r="AG20" s="1294"/>
      <c r="AH20" s="1294">
        <f t="shared" si="2"/>
        <v>5000</v>
      </c>
      <c r="AI20" s="1294">
        <f t="shared" si="5"/>
        <v>0</v>
      </c>
      <c r="AJ20" s="1293">
        <f t="shared" si="11"/>
        <v>0</v>
      </c>
      <c r="AK20" s="1294"/>
      <c r="AL20" s="1294"/>
      <c r="AM20" s="1294"/>
      <c r="AN20" s="1294"/>
      <c r="AO20" s="1294"/>
      <c r="AP20" s="1294"/>
      <c r="AQ20" s="1294"/>
      <c r="AR20" s="1294">
        <f t="shared" si="3"/>
        <v>0</v>
      </c>
      <c r="AS20" s="1136"/>
      <c r="AT20" s="668">
        <f t="shared" si="6"/>
        <v>0</v>
      </c>
      <c r="AU20" s="463"/>
      <c r="AV20" s="468">
        <f t="shared" si="12"/>
        <v>0</v>
      </c>
      <c r="AW20" s="468">
        <f t="shared" si="7"/>
        <v>10000</v>
      </c>
      <c r="AX20" s="272"/>
      <c r="AY20" s="272"/>
      <c r="AZ20" s="272"/>
      <c r="BA20" s="272"/>
      <c r="BB20" s="272"/>
      <c r="BC20" s="437">
        <f t="shared" ref="BC20:BC25" si="36">T20+U20+V20+-W20</f>
        <v>0</v>
      </c>
      <c r="BD20" s="437"/>
      <c r="BE20">
        <f t="shared" si="8"/>
        <v>200</v>
      </c>
      <c r="BF20" s="437">
        <f t="shared" si="9"/>
        <v>0</v>
      </c>
    </row>
    <row r="21" spans="1:59" ht="39" customHeight="1">
      <c r="A21" s="1376"/>
      <c r="B21" s="1377"/>
      <c r="C21" s="1377"/>
      <c r="D21" s="1373">
        <v>111</v>
      </c>
      <c r="E21" s="1607"/>
      <c r="F21" s="1797" t="s">
        <v>218</v>
      </c>
      <c r="G21" s="1837" t="s">
        <v>662</v>
      </c>
      <c r="H21" s="1608">
        <v>3000</v>
      </c>
      <c r="I21" s="1386"/>
      <c r="J21" s="1386"/>
      <c r="K21" s="1603">
        <f t="shared" si="32"/>
        <v>3000</v>
      </c>
      <c r="L21" s="1609">
        <v>3000</v>
      </c>
      <c r="M21" s="1307"/>
      <c r="N21" s="1308"/>
      <c r="O21" s="1473">
        <f t="shared" si="33"/>
        <v>3000</v>
      </c>
      <c r="P21" s="1609">
        <v>3000</v>
      </c>
      <c r="Q21" s="1307"/>
      <c r="R21" s="1308"/>
      <c r="S21" s="1473">
        <f t="shared" si="34"/>
        <v>3000</v>
      </c>
      <c r="T21" s="1609">
        <v>3000</v>
      </c>
      <c r="U21" s="1307"/>
      <c r="V21" s="1308"/>
      <c r="W21" s="1473">
        <f t="shared" si="35"/>
        <v>3000</v>
      </c>
      <c r="X21" s="1578">
        <f t="shared" si="13"/>
        <v>100</v>
      </c>
      <c r="Y21" s="2457"/>
      <c r="Z21" s="1136"/>
      <c r="AA21" s="1136"/>
      <c r="AB21" s="1293">
        <f t="shared" si="0"/>
        <v>0</v>
      </c>
      <c r="AC21" s="1293">
        <f t="shared" si="4"/>
        <v>0</v>
      </c>
      <c r="AD21" s="1293">
        <f t="shared" si="10"/>
        <v>0</v>
      </c>
      <c r="AE21" s="1293">
        <f t="shared" si="1"/>
        <v>0</v>
      </c>
      <c r="AF21" s="1294"/>
      <c r="AG21" s="1294"/>
      <c r="AH21" s="1294">
        <f t="shared" si="2"/>
        <v>0</v>
      </c>
      <c r="AI21" s="1294">
        <f t="shared" si="5"/>
        <v>0</v>
      </c>
      <c r="AJ21" s="1293">
        <f t="shared" si="11"/>
        <v>0</v>
      </c>
      <c r="AK21" s="1294"/>
      <c r="AL21" s="1294"/>
      <c r="AM21" s="1294"/>
      <c r="AN21" s="1294"/>
      <c r="AO21" s="1294"/>
      <c r="AP21" s="1294"/>
      <c r="AQ21" s="1294"/>
      <c r="AR21" s="1294">
        <f t="shared" si="3"/>
        <v>0</v>
      </c>
      <c r="AS21" s="1136"/>
      <c r="AT21" s="668">
        <f t="shared" si="6"/>
        <v>0</v>
      </c>
      <c r="AU21" s="463"/>
      <c r="AV21" s="468">
        <f t="shared" si="12"/>
        <v>0</v>
      </c>
      <c r="AW21" s="468">
        <f t="shared" si="7"/>
        <v>3000</v>
      </c>
      <c r="AX21" s="272"/>
      <c r="AY21" s="272"/>
      <c r="AZ21" s="272"/>
      <c r="BA21" s="272"/>
      <c r="BB21" s="272"/>
      <c r="BC21" s="437">
        <f t="shared" si="36"/>
        <v>0</v>
      </c>
      <c r="BD21" s="437"/>
      <c r="BE21">
        <f t="shared" si="8"/>
        <v>100</v>
      </c>
      <c r="BF21" s="437">
        <f t="shared" si="9"/>
        <v>0</v>
      </c>
    </row>
    <row r="22" spans="1:59" ht="39" customHeight="1">
      <c r="A22" s="1376"/>
      <c r="B22" s="1377"/>
      <c r="C22" s="1377"/>
      <c r="D22" s="1373">
        <v>111</v>
      </c>
      <c r="E22" s="1607"/>
      <c r="F22" s="1797" t="s">
        <v>219</v>
      </c>
      <c r="G22" s="1837" t="s">
        <v>663</v>
      </c>
      <c r="H22" s="1608">
        <v>4600</v>
      </c>
      <c r="I22" s="1386"/>
      <c r="J22" s="1386"/>
      <c r="K22" s="1603">
        <f t="shared" si="32"/>
        <v>4600</v>
      </c>
      <c r="L22" s="1610">
        <v>3000</v>
      </c>
      <c r="M22" s="1307"/>
      <c r="N22" s="1308"/>
      <c r="O22" s="1473">
        <f t="shared" si="33"/>
        <v>3000</v>
      </c>
      <c r="P22" s="1610">
        <v>7000</v>
      </c>
      <c r="Q22" s="1307"/>
      <c r="R22" s="1308"/>
      <c r="S22" s="1473">
        <f t="shared" si="34"/>
        <v>7000</v>
      </c>
      <c r="T22" s="1610">
        <v>7000</v>
      </c>
      <c r="U22" s="1307"/>
      <c r="V22" s="1308"/>
      <c r="W22" s="1473">
        <f t="shared" si="35"/>
        <v>7000</v>
      </c>
      <c r="X22" s="1578">
        <f t="shared" si="13"/>
        <v>233.33333333333334</v>
      </c>
      <c r="Y22" s="2457"/>
      <c r="Z22" s="1136"/>
      <c r="AA22" s="1136"/>
      <c r="AB22" s="1293">
        <f t="shared" si="0"/>
        <v>0</v>
      </c>
      <c r="AC22" s="1293">
        <f t="shared" si="4"/>
        <v>0</v>
      </c>
      <c r="AD22" s="1293">
        <f t="shared" si="10"/>
        <v>4000</v>
      </c>
      <c r="AE22" s="1293">
        <f t="shared" si="1"/>
        <v>0</v>
      </c>
      <c r="AF22" s="1294"/>
      <c r="AG22" s="1294"/>
      <c r="AH22" s="1294">
        <f t="shared" si="2"/>
        <v>4000</v>
      </c>
      <c r="AI22" s="1294">
        <f t="shared" si="5"/>
        <v>0</v>
      </c>
      <c r="AJ22" s="1293">
        <f t="shared" si="11"/>
        <v>0</v>
      </c>
      <c r="AK22" s="1294"/>
      <c r="AL22" s="1294"/>
      <c r="AM22" s="1294"/>
      <c r="AN22" s="1294"/>
      <c r="AO22" s="1294"/>
      <c r="AP22" s="1294"/>
      <c r="AQ22" s="1294"/>
      <c r="AR22" s="1294">
        <f t="shared" si="3"/>
        <v>0</v>
      </c>
      <c r="AS22" s="1136"/>
      <c r="AT22" s="668">
        <f t="shared" si="6"/>
        <v>0</v>
      </c>
      <c r="AU22" s="463"/>
      <c r="AV22" s="468">
        <f t="shared" si="12"/>
        <v>0</v>
      </c>
      <c r="AW22" s="468">
        <f t="shared" si="7"/>
        <v>7000</v>
      </c>
      <c r="AX22" s="272"/>
      <c r="AY22" s="272"/>
      <c r="AZ22" s="272"/>
      <c r="BA22" s="272"/>
      <c r="BB22" s="272"/>
      <c r="BC22" s="437">
        <f t="shared" si="36"/>
        <v>0</v>
      </c>
      <c r="BD22" s="437"/>
      <c r="BE22">
        <f t="shared" si="8"/>
        <v>233.33333333333334</v>
      </c>
      <c r="BF22" s="437">
        <f t="shared" si="9"/>
        <v>0</v>
      </c>
    </row>
    <row r="23" spans="1:59" ht="39" customHeight="1">
      <c r="A23" s="1376"/>
      <c r="B23" s="1377"/>
      <c r="C23" s="1377"/>
      <c r="D23" s="1373">
        <v>111</v>
      </c>
      <c r="E23" s="1607"/>
      <c r="F23" s="1797">
        <v>613400</v>
      </c>
      <c r="G23" s="1837" t="s">
        <v>220</v>
      </c>
      <c r="H23" s="1608">
        <v>30000</v>
      </c>
      <c r="I23" s="1386"/>
      <c r="J23" s="1386"/>
      <c r="K23" s="1603">
        <f t="shared" si="32"/>
        <v>30000</v>
      </c>
      <c r="L23" s="1610">
        <v>15000</v>
      </c>
      <c r="M23" s="1307"/>
      <c r="N23" s="1308"/>
      <c r="O23" s="1473">
        <f t="shared" si="33"/>
        <v>15000</v>
      </c>
      <c r="P23" s="1610">
        <v>10000</v>
      </c>
      <c r="Q23" s="1307"/>
      <c r="R23" s="1308"/>
      <c r="S23" s="1473">
        <f t="shared" si="34"/>
        <v>10000</v>
      </c>
      <c r="T23" s="1610">
        <v>10000</v>
      </c>
      <c r="U23" s="1307"/>
      <c r="V23" s="1308"/>
      <c r="W23" s="1473">
        <f t="shared" si="35"/>
        <v>10000</v>
      </c>
      <c r="X23" s="1578">
        <f t="shared" si="13"/>
        <v>66.666666666666657</v>
      </c>
      <c r="Y23" s="2457"/>
      <c r="Z23" s="1136"/>
      <c r="AA23" s="1136"/>
      <c r="AB23" s="1293">
        <f t="shared" si="0"/>
        <v>0</v>
      </c>
      <c r="AC23" s="1293">
        <f t="shared" si="4"/>
        <v>0</v>
      </c>
      <c r="AD23" s="1293">
        <f t="shared" si="10"/>
        <v>-5000</v>
      </c>
      <c r="AE23" s="1293">
        <f t="shared" si="1"/>
        <v>0</v>
      </c>
      <c r="AF23" s="1294"/>
      <c r="AG23" s="1294"/>
      <c r="AH23" s="1294">
        <f t="shared" si="2"/>
        <v>-5000</v>
      </c>
      <c r="AI23" s="1294">
        <f t="shared" si="5"/>
        <v>0</v>
      </c>
      <c r="AJ23" s="1293">
        <f t="shared" si="11"/>
        <v>0</v>
      </c>
      <c r="AK23" s="1294"/>
      <c r="AL23" s="1294"/>
      <c r="AM23" s="1294"/>
      <c r="AN23" s="1294"/>
      <c r="AO23" s="1294"/>
      <c r="AP23" s="1294"/>
      <c r="AQ23" s="1294"/>
      <c r="AR23" s="1294">
        <f t="shared" si="3"/>
        <v>0</v>
      </c>
      <c r="AS23" s="1136"/>
      <c r="AT23" s="668">
        <f t="shared" si="6"/>
        <v>0</v>
      </c>
      <c r="AU23" s="463"/>
      <c r="AV23" s="468">
        <f t="shared" si="12"/>
        <v>0</v>
      </c>
      <c r="AW23" s="468">
        <f t="shared" si="7"/>
        <v>10000</v>
      </c>
      <c r="AX23" s="670"/>
      <c r="AY23" s="670"/>
      <c r="AZ23" s="670"/>
      <c r="BA23" s="670"/>
      <c r="BB23" s="670"/>
      <c r="BC23" s="437">
        <f t="shared" si="36"/>
        <v>0</v>
      </c>
      <c r="BD23" s="437"/>
      <c r="BE23">
        <f t="shared" si="8"/>
        <v>66.666666666666657</v>
      </c>
      <c r="BF23" s="437">
        <f t="shared" si="9"/>
        <v>0</v>
      </c>
    </row>
    <row r="24" spans="1:59" ht="39" customHeight="1">
      <c r="A24" s="1376"/>
      <c r="B24" s="1377"/>
      <c r="C24" s="1377"/>
      <c r="D24" s="1373">
        <v>111</v>
      </c>
      <c r="E24" s="1607"/>
      <c r="F24" s="1796">
        <v>613500</v>
      </c>
      <c r="G24" s="1837" t="s">
        <v>221</v>
      </c>
      <c r="H24" s="1608">
        <v>8200</v>
      </c>
      <c r="I24" s="1386"/>
      <c r="J24" s="1386"/>
      <c r="K24" s="1603">
        <f t="shared" si="32"/>
        <v>8200</v>
      </c>
      <c r="L24" s="1610">
        <v>5000</v>
      </c>
      <c r="M24" s="1307"/>
      <c r="N24" s="1308"/>
      <c r="O24" s="1473">
        <f t="shared" si="33"/>
        <v>5000</v>
      </c>
      <c r="P24" s="1610">
        <v>2000</v>
      </c>
      <c r="Q24" s="1307"/>
      <c r="R24" s="1308"/>
      <c r="S24" s="1473">
        <f t="shared" si="34"/>
        <v>2000</v>
      </c>
      <c r="T24" s="1610">
        <v>2000</v>
      </c>
      <c r="U24" s="1307"/>
      <c r="V24" s="1308"/>
      <c r="W24" s="1473">
        <f t="shared" si="35"/>
        <v>2000</v>
      </c>
      <c r="X24" s="1578">
        <f t="shared" si="13"/>
        <v>40</v>
      </c>
      <c r="Y24" s="2457"/>
      <c r="Z24" s="1136"/>
      <c r="AA24" s="1136"/>
      <c r="AB24" s="1293">
        <f t="shared" si="0"/>
        <v>0</v>
      </c>
      <c r="AC24" s="1293">
        <f t="shared" si="4"/>
        <v>0</v>
      </c>
      <c r="AD24" s="1293">
        <f t="shared" si="10"/>
        <v>-3000</v>
      </c>
      <c r="AE24" s="1293">
        <f t="shared" si="1"/>
        <v>0</v>
      </c>
      <c r="AF24" s="1294"/>
      <c r="AG24" s="1294"/>
      <c r="AH24" s="1294">
        <f t="shared" si="2"/>
        <v>-3000</v>
      </c>
      <c r="AI24" s="1294">
        <f t="shared" si="5"/>
        <v>0</v>
      </c>
      <c r="AJ24" s="1293">
        <f t="shared" si="11"/>
        <v>0</v>
      </c>
      <c r="AK24" s="1294"/>
      <c r="AL24" s="1294"/>
      <c r="AM24" s="1294"/>
      <c r="AN24" s="1294"/>
      <c r="AO24" s="1294"/>
      <c r="AP24" s="1294"/>
      <c r="AQ24" s="1294"/>
      <c r="AR24" s="1294">
        <f t="shared" si="3"/>
        <v>0</v>
      </c>
      <c r="AS24" s="1136"/>
      <c r="AT24" s="668">
        <f t="shared" si="6"/>
        <v>0</v>
      </c>
      <c r="AU24" s="463"/>
      <c r="AV24" s="468">
        <f t="shared" si="12"/>
        <v>0</v>
      </c>
      <c r="AW24" s="468">
        <f t="shared" si="7"/>
        <v>2000</v>
      </c>
      <c r="AX24" s="463"/>
      <c r="AY24" s="463"/>
      <c r="AZ24" s="463"/>
      <c r="BA24" s="463"/>
      <c r="BB24" s="463"/>
      <c r="BC24" s="437">
        <f t="shared" si="36"/>
        <v>0</v>
      </c>
      <c r="BD24" s="437"/>
      <c r="BE24">
        <f t="shared" si="8"/>
        <v>40</v>
      </c>
      <c r="BF24" s="437">
        <f t="shared" si="9"/>
        <v>0</v>
      </c>
    </row>
    <row r="25" spans="1:59" ht="39" customHeight="1">
      <c r="A25" s="1376"/>
      <c r="B25" s="1377"/>
      <c r="C25" s="1377"/>
      <c r="D25" s="1373">
        <v>111</v>
      </c>
      <c r="E25" s="1607"/>
      <c r="F25" s="1796" t="s">
        <v>222</v>
      </c>
      <c r="G25" s="1837" t="s">
        <v>664</v>
      </c>
      <c r="H25" s="1608">
        <v>8000</v>
      </c>
      <c r="I25" s="1386"/>
      <c r="J25" s="1386"/>
      <c r="K25" s="1603">
        <f t="shared" si="32"/>
        <v>8000</v>
      </c>
      <c r="L25" s="1610">
        <v>3000</v>
      </c>
      <c r="M25" s="1307"/>
      <c r="N25" s="1308"/>
      <c r="O25" s="1473">
        <f t="shared" si="33"/>
        <v>3000</v>
      </c>
      <c r="P25" s="1610">
        <v>5000</v>
      </c>
      <c r="Q25" s="1307"/>
      <c r="R25" s="1308"/>
      <c r="S25" s="1473">
        <f t="shared" si="34"/>
        <v>5000</v>
      </c>
      <c r="T25" s="1610">
        <v>5000</v>
      </c>
      <c r="U25" s="1307"/>
      <c r="V25" s="1308"/>
      <c r="W25" s="1473">
        <f t="shared" si="35"/>
        <v>5000</v>
      </c>
      <c r="X25" s="1578">
        <f t="shared" si="13"/>
        <v>166.66666666666669</v>
      </c>
      <c r="Y25" s="2457"/>
      <c r="Z25" s="1136"/>
      <c r="AA25" s="1136"/>
      <c r="AB25" s="1293">
        <f t="shared" si="0"/>
        <v>0</v>
      </c>
      <c r="AC25" s="1293">
        <f t="shared" si="4"/>
        <v>0</v>
      </c>
      <c r="AD25" s="1293">
        <f t="shared" si="10"/>
        <v>2000</v>
      </c>
      <c r="AE25" s="1293">
        <f t="shared" si="1"/>
        <v>0</v>
      </c>
      <c r="AF25" s="1294"/>
      <c r="AG25" s="1294"/>
      <c r="AH25" s="1294">
        <f t="shared" si="2"/>
        <v>2000</v>
      </c>
      <c r="AI25" s="1294">
        <f t="shared" si="5"/>
        <v>0</v>
      </c>
      <c r="AJ25" s="1293">
        <f t="shared" si="11"/>
        <v>0</v>
      </c>
      <c r="AK25" s="1294"/>
      <c r="AL25" s="1294"/>
      <c r="AM25" s="1294"/>
      <c r="AN25" s="1294"/>
      <c r="AO25" s="1294"/>
      <c r="AP25" s="1294"/>
      <c r="AQ25" s="1294"/>
      <c r="AR25" s="1294">
        <f t="shared" si="3"/>
        <v>0</v>
      </c>
      <c r="AS25" s="1136"/>
      <c r="AT25" s="668">
        <f t="shared" si="6"/>
        <v>0</v>
      </c>
      <c r="AU25" s="463"/>
      <c r="AV25" s="468">
        <f t="shared" si="12"/>
        <v>0</v>
      </c>
      <c r="AW25" s="468">
        <f t="shared" si="7"/>
        <v>5000</v>
      </c>
      <c r="AX25" s="272"/>
      <c r="AY25" s="272"/>
      <c r="AZ25" s="272"/>
      <c r="BA25" s="272"/>
      <c r="BB25" s="272"/>
      <c r="BC25" s="437">
        <f t="shared" si="36"/>
        <v>0</v>
      </c>
      <c r="BD25" s="437"/>
      <c r="BE25">
        <f t="shared" si="8"/>
        <v>166.66666666666669</v>
      </c>
      <c r="BF25" s="437">
        <f t="shared" si="9"/>
        <v>0</v>
      </c>
    </row>
    <row r="26" spans="1:59" ht="39" customHeight="1">
      <c r="A26" s="1376"/>
      <c r="B26" s="1377"/>
      <c r="C26" s="1377"/>
      <c r="D26" s="1373">
        <v>111</v>
      </c>
      <c r="E26" s="1373" t="s">
        <v>206</v>
      </c>
      <c r="F26" s="1799">
        <v>613900</v>
      </c>
      <c r="G26" s="1840" t="s">
        <v>180</v>
      </c>
      <c r="H26" s="1380">
        <f>SUM(H27:H36)</f>
        <v>366500</v>
      </c>
      <c r="I26" s="1380">
        <f>SUM(I27:I29)</f>
        <v>0</v>
      </c>
      <c r="J26" s="1380">
        <f>SUM(J27:J29)</f>
        <v>0</v>
      </c>
      <c r="K26" s="1600">
        <f t="shared" ref="K26:Q26" si="37">SUM(K27:K36)</f>
        <v>366500</v>
      </c>
      <c r="L26" s="1601">
        <f t="shared" si="37"/>
        <v>844000</v>
      </c>
      <c r="M26" s="1303">
        <f t="shared" si="37"/>
        <v>95000</v>
      </c>
      <c r="N26" s="1304">
        <f t="shared" si="37"/>
        <v>0</v>
      </c>
      <c r="O26" s="1472">
        <f t="shared" si="37"/>
        <v>939000</v>
      </c>
      <c r="P26" s="1601">
        <f t="shared" si="37"/>
        <v>981400</v>
      </c>
      <c r="Q26" s="1303">
        <f t="shared" si="37"/>
        <v>80000</v>
      </c>
      <c r="R26" s="1304"/>
      <c r="S26" s="1472">
        <f>SUM(S27:S36)</f>
        <v>1061400</v>
      </c>
      <c r="T26" s="1601">
        <f>SUM(T27:T36)</f>
        <v>761000</v>
      </c>
      <c r="U26" s="1303">
        <f>SUM(U27:U36)</f>
        <v>90000</v>
      </c>
      <c r="V26" s="1304">
        <f>SUM(V27:V36)</f>
        <v>250000</v>
      </c>
      <c r="W26" s="1472">
        <f>SUM(W27:W36)</f>
        <v>1101000</v>
      </c>
      <c r="X26" s="1578">
        <f t="shared" si="13"/>
        <v>117.25239616613419</v>
      </c>
      <c r="Y26" s="2457">
        <f>'[1]PRIH REBALANS'!$AK$338</f>
        <v>1101000</v>
      </c>
      <c r="Z26" s="1136"/>
      <c r="AA26" s="1136">
        <f>'[9]PRIH REBALANS'!$AK$338</f>
        <v>1101000</v>
      </c>
      <c r="AB26" s="1293">
        <f t="shared" si="0"/>
        <v>0</v>
      </c>
      <c r="AC26" s="1293">
        <f t="shared" si="4"/>
        <v>0</v>
      </c>
      <c r="AD26" s="1293">
        <f t="shared" si="10"/>
        <v>162000</v>
      </c>
      <c r="AE26" s="1293">
        <f t="shared" si="1"/>
        <v>0</v>
      </c>
      <c r="AF26" s="1294"/>
      <c r="AG26" s="1294"/>
      <c r="AH26" s="1294">
        <f t="shared" si="2"/>
        <v>-83000</v>
      </c>
      <c r="AI26" s="1294">
        <f t="shared" si="5"/>
        <v>0</v>
      </c>
      <c r="AJ26" s="1293">
        <f t="shared" si="11"/>
        <v>0</v>
      </c>
      <c r="AK26" s="1294"/>
      <c r="AL26" s="1294"/>
      <c r="AM26" s="1294"/>
      <c r="AN26" s="1294"/>
      <c r="AO26" s="1294"/>
      <c r="AP26" s="1294"/>
      <c r="AQ26" s="1294"/>
      <c r="AR26" s="1294">
        <f t="shared" si="3"/>
        <v>0</v>
      </c>
      <c r="AS26" s="1136">
        <f>SUM(W27:W36)</f>
        <v>1101000</v>
      </c>
      <c r="AT26" s="668">
        <f t="shared" si="6"/>
        <v>0</v>
      </c>
      <c r="AU26" s="463">
        <f>SUM(W27:W36)</f>
        <v>1101000</v>
      </c>
      <c r="AV26" s="468">
        <f t="shared" si="12"/>
        <v>0</v>
      </c>
      <c r="AW26" s="468">
        <f t="shared" si="7"/>
        <v>1101000</v>
      </c>
      <c r="AX26" s="463"/>
      <c r="AY26" s="463"/>
      <c r="AZ26" s="463"/>
      <c r="BA26" s="463"/>
      <c r="BB26" s="463"/>
      <c r="BC26" s="437">
        <f>'[2]PRIH REBALANS'!$AK$358</f>
        <v>939000</v>
      </c>
      <c r="BD26" s="437"/>
      <c r="BE26">
        <f t="shared" si="8"/>
        <v>117.25239616613419</v>
      </c>
      <c r="BF26" s="437">
        <f t="shared" si="9"/>
        <v>0</v>
      </c>
      <c r="BG26" s="209">
        <f>SUM(W27:W36)</f>
        <v>1101000</v>
      </c>
    </row>
    <row r="27" spans="1:59" ht="39" customHeight="1">
      <c r="A27" s="1376"/>
      <c r="B27" s="1377"/>
      <c r="C27" s="1377"/>
      <c r="D27" s="1373">
        <v>111</v>
      </c>
      <c r="E27" s="1607"/>
      <c r="F27" s="1797">
        <v>613911</v>
      </c>
      <c r="G27" s="1837" t="s">
        <v>223</v>
      </c>
      <c r="H27" s="1575">
        <v>1000</v>
      </c>
      <c r="I27" s="1386"/>
      <c r="J27" s="1386"/>
      <c r="K27" s="1603">
        <f t="shared" ref="K27:K36" si="38">SUM(H27:J27)</f>
        <v>1000</v>
      </c>
      <c r="L27" s="1610">
        <v>3000</v>
      </c>
      <c r="M27" s="1307"/>
      <c r="N27" s="1308"/>
      <c r="O27" s="1473">
        <f>SUM(L27:N27)</f>
        <v>3000</v>
      </c>
      <c r="P27" s="1610">
        <v>10000</v>
      </c>
      <c r="Q27" s="1307"/>
      <c r="R27" s="1308"/>
      <c r="S27" s="1473">
        <f>SUM(P27:R27)</f>
        <v>10000</v>
      </c>
      <c r="T27" s="1610">
        <v>10000</v>
      </c>
      <c r="U27" s="1307"/>
      <c r="V27" s="1308"/>
      <c r="W27" s="1473">
        <f>SUM(T27:V27)</f>
        <v>10000</v>
      </c>
      <c r="X27" s="1578">
        <f t="shared" si="13"/>
        <v>333.33333333333337</v>
      </c>
      <c r="Y27" s="2457"/>
      <c r="Z27" s="1136"/>
      <c r="AA27" s="1136"/>
      <c r="AB27" s="1293">
        <f t="shared" si="0"/>
        <v>0</v>
      </c>
      <c r="AC27" s="1293">
        <f t="shared" si="4"/>
        <v>0</v>
      </c>
      <c r="AD27" s="1293">
        <f t="shared" si="10"/>
        <v>7000</v>
      </c>
      <c r="AE27" s="1293">
        <f t="shared" si="1"/>
        <v>0</v>
      </c>
      <c r="AF27" s="1294"/>
      <c r="AG27" s="1294"/>
      <c r="AH27" s="1294">
        <f t="shared" si="2"/>
        <v>7000</v>
      </c>
      <c r="AI27" s="1294">
        <f t="shared" si="5"/>
        <v>0</v>
      </c>
      <c r="AJ27" s="1293">
        <f t="shared" si="11"/>
        <v>0</v>
      </c>
      <c r="AK27" s="1294"/>
      <c r="AL27" s="1294"/>
      <c r="AM27" s="1294"/>
      <c r="AN27" s="1294"/>
      <c r="AO27" s="1294"/>
      <c r="AP27" s="1294"/>
      <c r="AQ27" s="1294"/>
      <c r="AR27" s="1294">
        <f t="shared" si="3"/>
        <v>0</v>
      </c>
      <c r="AS27" s="1136"/>
      <c r="AT27" s="668">
        <f t="shared" si="6"/>
        <v>0</v>
      </c>
      <c r="AU27" s="463"/>
      <c r="AV27" s="468">
        <f t="shared" si="12"/>
        <v>0</v>
      </c>
      <c r="AW27" s="468">
        <f t="shared" si="7"/>
        <v>10000</v>
      </c>
      <c r="AX27" s="272"/>
      <c r="AY27" s="272"/>
      <c r="AZ27" s="272"/>
      <c r="BA27" s="272"/>
      <c r="BB27" s="272"/>
      <c r="BC27" s="437">
        <f t="shared" ref="BC27:BC42" si="39">T27+U27+V27+-W27</f>
        <v>0</v>
      </c>
      <c r="BD27" s="437"/>
      <c r="BE27">
        <f t="shared" si="8"/>
        <v>333.33333333333337</v>
      </c>
      <c r="BF27" s="437">
        <f t="shared" si="9"/>
        <v>0</v>
      </c>
    </row>
    <row r="28" spans="1:59" ht="39" customHeight="1">
      <c r="A28" s="1376"/>
      <c r="B28" s="1377"/>
      <c r="C28" s="1377"/>
      <c r="D28" s="1373">
        <v>111</v>
      </c>
      <c r="E28" s="1607"/>
      <c r="F28" s="1797">
        <v>613914</v>
      </c>
      <c r="G28" s="1837" t="s">
        <v>224</v>
      </c>
      <c r="H28" s="1575">
        <v>2000</v>
      </c>
      <c r="I28" s="1386"/>
      <c r="J28" s="1386"/>
      <c r="K28" s="1603">
        <f t="shared" si="38"/>
        <v>2000</v>
      </c>
      <c r="L28" s="1610">
        <v>25000</v>
      </c>
      <c r="M28" s="1307"/>
      <c r="N28" s="1308"/>
      <c r="O28" s="1473">
        <f t="shared" ref="O28:O36" si="40">SUM(L28:N28)</f>
        <v>25000</v>
      </c>
      <c r="P28" s="1610">
        <v>15000</v>
      </c>
      <c r="Q28" s="1307"/>
      <c r="R28" s="1308"/>
      <c r="S28" s="1473">
        <f t="shared" ref="S28:S36" si="41">SUM(P28:R28)</f>
        <v>15000</v>
      </c>
      <c r="T28" s="1610">
        <v>25000</v>
      </c>
      <c r="U28" s="1307"/>
      <c r="V28" s="1308"/>
      <c r="W28" s="1473">
        <f t="shared" ref="W28:W36" si="42">SUM(T28:V28)</f>
        <v>25000</v>
      </c>
      <c r="X28" s="1578">
        <f t="shared" si="13"/>
        <v>100</v>
      </c>
      <c r="Y28" s="2457"/>
      <c r="Z28" s="1136"/>
      <c r="AA28" s="1136"/>
      <c r="AB28" s="1293">
        <f t="shared" si="0"/>
        <v>0</v>
      </c>
      <c r="AC28" s="1293">
        <f t="shared" si="4"/>
        <v>0</v>
      </c>
      <c r="AD28" s="1293">
        <f t="shared" si="10"/>
        <v>0</v>
      </c>
      <c r="AE28" s="1293">
        <f t="shared" si="1"/>
        <v>0</v>
      </c>
      <c r="AF28" s="1294"/>
      <c r="AG28" s="1294"/>
      <c r="AH28" s="1294">
        <f t="shared" si="2"/>
        <v>0</v>
      </c>
      <c r="AI28" s="1294">
        <f t="shared" si="5"/>
        <v>0</v>
      </c>
      <c r="AJ28" s="1293">
        <f t="shared" si="11"/>
        <v>0</v>
      </c>
      <c r="AK28" s="1294"/>
      <c r="AL28" s="1294"/>
      <c r="AM28" s="1294"/>
      <c r="AN28" s="1294"/>
      <c r="AO28" s="1294"/>
      <c r="AP28" s="1294"/>
      <c r="AQ28" s="1294"/>
      <c r="AR28" s="1294">
        <f t="shared" si="3"/>
        <v>0</v>
      </c>
      <c r="AS28" s="1136"/>
      <c r="AT28" s="668">
        <f t="shared" si="6"/>
        <v>0</v>
      </c>
      <c r="AU28" s="463"/>
      <c r="AV28" s="468">
        <f t="shared" si="12"/>
        <v>0</v>
      </c>
      <c r="AW28" s="468">
        <f t="shared" si="7"/>
        <v>25000</v>
      </c>
      <c r="AX28" s="671"/>
      <c r="AY28" s="671"/>
      <c r="AZ28" s="671"/>
      <c r="BA28" s="671"/>
      <c r="BB28" s="671"/>
      <c r="BC28" s="437">
        <f t="shared" si="39"/>
        <v>0</v>
      </c>
      <c r="BD28" s="437"/>
      <c r="BE28">
        <f t="shared" si="8"/>
        <v>100</v>
      </c>
      <c r="BF28" s="437">
        <f t="shared" si="9"/>
        <v>0</v>
      </c>
    </row>
    <row r="29" spans="1:59" ht="39" customHeight="1">
      <c r="A29" s="1376"/>
      <c r="B29" s="1377"/>
      <c r="C29" s="1377"/>
      <c r="D29" s="1373">
        <v>111</v>
      </c>
      <c r="E29" s="1373"/>
      <c r="F29" s="1796">
        <v>613983</v>
      </c>
      <c r="G29" s="1838" t="s">
        <v>703</v>
      </c>
      <c r="H29" s="1575"/>
      <c r="I29" s="1386"/>
      <c r="J29" s="1386"/>
      <c r="K29" s="1603">
        <f t="shared" si="38"/>
        <v>0</v>
      </c>
      <c r="L29" s="1610">
        <v>1000</v>
      </c>
      <c r="M29" s="1307"/>
      <c r="N29" s="1308"/>
      <c r="O29" s="1473">
        <f t="shared" si="40"/>
        <v>1000</v>
      </c>
      <c r="P29" s="1610"/>
      <c r="Q29" s="1307"/>
      <c r="R29" s="1308"/>
      <c r="S29" s="1473">
        <f t="shared" si="41"/>
        <v>0</v>
      </c>
      <c r="T29" s="1610">
        <v>1000</v>
      </c>
      <c r="U29" s="1307"/>
      <c r="V29" s="1308"/>
      <c r="W29" s="1473">
        <f t="shared" si="42"/>
        <v>1000</v>
      </c>
      <c r="X29" s="1578">
        <f t="shared" si="13"/>
        <v>100</v>
      </c>
      <c r="Y29" s="2457"/>
      <c r="Z29" s="1136"/>
      <c r="AA29" s="1136"/>
      <c r="AB29" s="1293">
        <f t="shared" si="0"/>
        <v>0</v>
      </c>
      <c r="AC29" s="1293">
        <f t="shared" si="4"/>
        <v>0</v>
      </c>
      <c r="AD29" s="1293">
        <f t="shared" si="10"/>
        <v>0</v>
      </c>
      <c r="AE29" s="1293">
        <f t="shared" si="1"/>
        <v>0</v>
      </c>
      <c r="AF29" s="1294"/>
      <c r="AG29" s="1294"/>
      <c r="AH29" s="1294">
        <f t="shared" si="2"/>
        <v>0</v>
      </c>
      <c r="AI29" s="1294">
        <f t="shared" si="5"/>
        <v>0</v>
      </c>
      <c r="AJ29" s="1293">
        <f t="shared" si="11"/>
        <v>0</v>
      </c>
      <c r="AK29" s="1294"/>
      <c r="AL29" s="1294"/>
      <c r="AM29" s="1294"/>
      <c r="AN29" s="1294"/>
      <c r="AO29" s="1294"/>
      <c r="AP29" s="1294"/>
      <c r="AQ29" s="1294"/>
      <c r="AR29" s="1294">
        <f t="shared" si="3"/>
        <v>0</v>
      </c>
      <c r="AS29" s="1136"/>
      <c r="AT29" s="668">
        <f t="shared" si="6"/>
        <v>0</v>
      </c>
      <c r="AU29" s="463"/>
      <c r="AV29" s="468">
        <f t="shared" si="12"/>
        <v>0</v>
      </c>
      <c r="AW29" s="468">
        <f t="shared" si="7"/>
        <v>1000</v>
      </c>
      <c r="AX29" s="272"/>
      <c r="AY29" s="272"/>
      <c r="AZ29" s="272"/>
      <c r="BA29" s="272"/>
      <c r="BB29" s="272"/>
      <c r="BC29" s="437">
        <f t="shared" si="39"/>
        <v>0</v>
      </c>
      <c r="BD29" s="437"/>
      <c r="BE29">
        <f t="shared" si="8"/>
        <v>100</v>
      </c>
      <c r="BF29" s="437">
        <f t="shared" si="9"/>
        <v>0</v>
      </c>
    </row>
    <row r="30" spans="1:59" ht="39" customHeight="1">
      <c r="A30" s="1376"/>
      <c r="B30" s="1377"/>
      <c r="C30" s="1377"/>
      <c r="D30" s="1373">
        <v>111</v>
      </c>
      <c r="E30" s="1373"/>
      <c r="F30" s="1800" t="s">
        <v>226</v>
      </c>
      <c r="G30" s="1841" t="s">
        <v>227</v>
      </c>
      <c r="H30" s="1611"/>
      <c r="I30" s="1386"/>
      <c r="J30" s="1386"/>
      <c r="K30" s="1603"/>
      <c r="L30" s="1610">
        <v>550000</v>
      </c>
      <c r="M30" s="1307"/>
      <c r="N30" s="1308"/>
      <c r="O30" s="1473">
        <f t="shared" si="40"/>
        <v>550000</v>
      </c>
      <c r="P30" s="1610">
        <v>550000</v>
      </c>
      <c r="Q30" s="1307"/>
      <c r="R30" s="1308"/>
      <c r="S30" s="1473">
        <f t="shared" si="41"/>
        <v>550000</v>
      </c>
      <c r="T30" s="1610">
        <v>550000</v>
      </c>
      <c r="U30" s="1307"/>
      <c r="V30" s="1308"/>
      <c r="W30" s="1473">
        <f t="shared" si="42"/>
        <v>550000</v>
      </c>
      <c r="X30" s="1578">
        <f t="shared" si="13"/>
        <v>100</v>
      </c>
      <c r="Y30" s="2457"/>
      <c r="Z30" s="1136"/>
      <c r="AA30" s="1136"/>
      <c r="AB30" s="1293">
        <f t="shared" si="0"/>
        <v>0</v>
      </c>
      <c r="AC30" s="1293">
        <f t="shared" si="4"/>
        <v>0</v>
      </c>
      <c r="AD30" s="1293">
        <f t="shared" si="10"/>
        <v>0</v>
      </c>
      <c r="AE30" s="1293">
        <f t="shared" si="1"/>
        <v>0</v>
      </c>
      <c r="AF30" s="1294"/>
      <c r="AG30" s="1294"/>
      <c r="AH30" s="1294">
        <f t="shared" si="2"/>
        <v>0</v>
      </c>
      <c r="AI30" s="1294">
        <f t="shared" si="5"/>
        <v>0</v>
      </c>
      <c r="AJ30" s="1293">
        <f t="shared" si="11"/>
        <v>0</v>
      </c>
      <c r="AK30" s="1294"/>
      <c r="AL30" s="1294"/>
      <c r="AM30" s="1294"/>
      <c r="AN30" s="1294"/>
      <c r="AO30" s="1294"/>
      <c r="AP30" s="1294"/>
      <c r="AQ30" s="1294"/>
      <c r="AR30" s="1294">
        <f t="shared" si="3"/>
        <v>0</v>
      </c>
      <c r="AS30" s="1136"/>
      <c r="AT30" s="668">
        <f t="shared" si="6"/>
        <v>0</v>
      </c>
      <c r="AU30" s="463"/>
      <c r="AV30" s="468">
        <f t="shared" si="12"/>
        <v>0</v>
      </c>
      <c r="AW30" s="468">
        <f t="shared" si="7"/>
        <v>550000</v>
      </c>
      <c r="AX30" s="272"/>
      <c r="AY30" s="272"/>
      <c r="AZ30" s="272"/>
      <c r="BA30" s="272"/>
      <c r="BB30" s="272"/>
      <c r="BC30" s="437">
        <f t="shared" si="39"/>
        <v>0</v>
      </c>
      <c r="BD30" s="437"/>
      <c r="BE30">
        <f t="shared" si="8"/>
        <v>100</v>
      </c>
      <c r="BF30" s="437">
        <f t="shared" si="9"/>
        <v>0</v>
      </c>
    </row>
    <row r="31" spans="1:59" ht="39" customHeight="1">
      <c r="A31" s="1376"/>
      <c r="B31" s="1377"/>
      <c r="C31" s="1377"/>
      <c r="D31" s="1373">
        <v>111</v>
      </c>
      <c r="E31" s="1373"/>
      <c r="F31" s="1796" t="s">
        <v>228</v>
      </c>
      <c r="G31" s="1842" t="s">
        <v>666</v>
      </c>
      <c r="H31" s="1575">
        <v>75000</v>
      </c>
      <c r="I31" s="1386"/>
      <c r="J31" s="1386"/>
      <c r="K31" s="1603">
        <f t="shared" si="38"/>
        <v>75000</v>
      </c>
      <c r="L31" s="1610">
        <v>35000</v>
      </c>
      <c r="M31" s="1307"/>
      <c r="N31" s="1308"/>
      <c r="O31" s="1473">
        <f t="shared" si="40"/>
        <v>35000</v>
      </c>
      <c r="P31" s="1610">
        <v>230000</v>
      </c>
      <c r="Q31" s="1307"/>
      <c r="R31" s="1308"/>
      <c r="S31" s="1473">
        <f t="shared" si="41"/>
        <v>230000</v>
      </c>
      <c r="T31" s="1610">
        <v>100000</v>
      </c>
      <c r="U31" s="1307"/>
      <c r="V31" s="1308"/>
      <c r="W31" s="1473">
        <f t="shared" si="42"/>
        <v>100000</v>
      </c>
      <c r="X31" s="1578">
        <f t="shared" si="13"/>
        <v>285.71428571428572</v>
      </c>
      <c r="Y31" s="2457"/>
      <c r="Z31" s="1136"/>
      <c r="AA31" s="1136"/>
      <c r="AB31" s="1293">
        <f t="shared" si="0"/>
        <v>0</v>
      </c>
      <c r="AC31" s="1293">
        <f t="shared" si="4"/>
        <v>0</v>
      </c>
      <c r="AD31" s="1293">
        <f t="shared" si="10"/>
        <v>65000</v>
      </c>
      <c r="AE31" s="1293">
        <f t="shared" si="1"/>
        <v>0</v>
      </c>
      <c r="AF31" s="1294"/>
      <c r="AG31" s="1294"/>
      <c r="AH31" s="1294">
        <f t="shared" si="2"/>
        <v>65000</v>
      </c>
      <c r="AI31" s="1294">
        <f t="shared" si="5"/>
        <v>0</v>
      </c>
      <c r="AJ31" s="1293">
        <f t="shared" si="11"/>
        <v>0</v>
      </c>
      <c r="AK31" s="1294"/>
      <c r="AL31" s="1294"/>
      <c r="AM31" s="1294"/>
      <c r="AN31" s="1294"/>
      <c r="AO31" s="1294"/>
      <c r="AP31" s="1294"/>
      <c r="AQ31" s="1294"/>
      <c r="AR31" s="1294">
        <f t="shared" si="3"/>
        <v>0</v>
      </c>
      <c r="AS31" s="1136"/>
      <c r="AT31" s="668">
        <f t="shared" si="6"/>
        <v>0</v>
      </c>
      <c r="AU31" s="463"/>
      <c r="AV31" s="468">
        <f t="shared" si="12"/>
        <v>0</v>
      </c>
      <c r="AW31" s="468">
        <f t="shared" si="7"/>
        <v>100000</v>
      </c>
      <c r="AX31" s="272"/>
      <c r="AY31" s="272"/>
      <c r="AZ31" s="272"/>
      <c r="BA31" s="272"/>
      <c r="BB31" s="272"/>
      <c r="BC31" s="437">
        <f t="shared" si="39"/>
        <v>0</v>
      </c>
      <c r="BD31" s="437"/>
      <c r="BE31">
        <f t="shared" si="8"/>
        <v>285.71428571428572</v>
      </c>
      <c r="BF31" s="437">
        <f t="shared" si="9"/>
        <v>0</v>
      </c>
    </row>
    <row r="32" spans="1:59" ht="39" customHeight="1">
      <c r="A32" s="1376"/>
      <c r="B32" s="1377"/>
      <c r="C32" s="1377"/>
      <c r="D32" s="1373">
        <v>111</v>
      </c>
      <c r="E32" s="1373"/>
      <c r="F32" s="1796" t="s">
        <v>228</v>
      </c>
      <c r="G32" s="1842" t="s">
        <v>229</v>
      </c>
      <c r="H32" s="1575">
        <v>234500</v>
      </c>
      <c r="I32" s="1386"/>
      <c r="J32" s="1386"/>
      <c r="K32" s="1603">
        <f t="shared" si="38"/>
        <v>234500</v>
      </c>
      <c r="L32" s="1610">
        <v>180000</v>
      </c>
      <c r="M32" s="1307"/>
      <c r="N32" s="1308"/>
      <c r="O32" s="1473">
        <f t="shared" si="40"/>
        <v>180000</v>
      </c>
      <c r="P32" s="1610">
        <v>85400</v>
      </c>
      <c r="Q32" s="1307"/>
      <c r="R32" s="1308"/>
      <c r="S32" s="1473">
        <f t="shared" si="41"/>
        <v>85400</v>
      </c>
      <c r="T32" s="1610"/>
      <c r="U32" s="1307"/>
      <c r="V32" s="1308">
        <v>250000</v>
      </c>
      <c r="W32" s="1473">
        <f t="shared" si="42"/>
        <v>250000</v>
      </c>
      <c r="X32" s="1578">
        <f t="shared" si="13"/>
        <v>138.88888888888889</v>
      </c>
      <c r="Y32" s="2457"/>
      <c r="Z32" s="1136"/>
      <c r="AA32" s="1136"/>
      <c r="AB32" s="1293">
        <f t="shared" si="0"/>
        <v>0</v>
      </c>
      <c r="AC32" s="1293">
        <f t="shared" si="4"/>
        <v>0</v>
      </c>
      <c r="AD32" s="1293">
        <f t="shared" si="10"/>
        <v>70000</v>
      </c>
      <c r="AE32" s="1293">
        <f t="shared" si="1"/>
        <v>0</v>
      </c>
      <c r="AF32" s="1294"/>
      <c r="AG32" s="1294"/>
      <c r="AH32" s="1294">
        <f t="shared" si="2"/>
        <v>-180000</v>
      </c>
      <c r="AI32" s="1294">
        <f t="shared" si="5"/>
        <v>0</v>
      </c>
      <c r="AJ32" s="1293">
        <f t="shared" si="11"/>
        <v>0</v>
      </c>
      <c r="AK32" s="1294"/>
      <c r="AL32" s="1294"/>
      <c r="AM32" s="1294"/>
      <c r="AN32" s="1294"/>
      <c r="AO32" s="1294"/>
      <c r="AP32" s="1294"/>
      <c r="AQ32" s="1294"/>
      <c r="AR32" s="1294">
        <f t="shared" si="3"/>
        <v>0</v>
      </c>
      <c r="AS32" s="1136"/>
      <c r="AT32" s="668">
        <f t="shared" si="6"/>
        <v>0</v>
      </c>
      <c r="AU32" s="463"/>
      <c r="AV32" s="468">
        <f t="shared" si="12"/>
        <v>0</v>
      </c>
      <c r="AW32" s="468">
        <f t="shared" si="7"/>
        <v>250000</v>
      </c>
      <c r="AX32" s="272"/>
      <c r="AY32" s="272"/>
      <c r="AZ32" s="272"/>
      <c r="BA32" s="272"/>
      <c r="BB32" s="272"/>
      <c r="BC32" s="437">
        <f t="shared" si="39"/>
        <v>0</v>
      </c>
      <c r="BD32" s="437"/>
      <c r="BE32">
        <f t="shared" si="8"/>
        <v>138.88888888888889</v>
      </c>
      <c r="BF32" s="437">
        <f t="shared" si="9"/>
        <v>0</v>
      </c>
    </row>
    <row r="33" spans="1:60" ht="39" customHeight="1">
      <c r="A33" s="1376"/>
      <c r="B33" s="1377"/>
      <c r="C33" s="1377"/>
      <c r="D33" s="1373">
        <v>111</v>
      </c>
      <c r="E33" s="1373"/>
      <c r="F33" s="1796" t="s">
        <v>230</v>
      </c>
      <c r="G33" s="1838" t="s">
        <v>665</v>
      </c>
      <c r="H33" s="1575"/>
      <c r="I33" s="1386"/>
      <c r="J33" s="1386"/>
      <c r="K33" s="1603"/>
      <c r="L33" s="1610">
        <v>30000</v>
      </c>
      <c r="M33" s="1307"/>
      <c r="N33" s="1308"/>
      <c r="O33" s="1473">
        <f t="shared" si="40"/>
        <v>30000</v>
      </c>
      <c r="P33" s="1610">
        <v>25000</v>
      </c>
      <c r="Q33" s="1307"/>
      <c r="R33" s="1308"/>
      <c r="S33" s="1473">
        <f t="shared" si="41"/>
        <v>25000</v>
      </c>
      <c r="T33" s="1610">
        <v>55000</v>
      </c>
      <c r="U33" s="1307"/>
      <c r="V33" s="1308"/>
      <c r="W33" s="1473">
        <f t="shared" si="42"/>
        <v>55000</v>
      </c>
      <c r="X33" s="1578">
        <f t="shared" si="13"/>
        <v>183.33333333333331</v>
      </c>
      <c r="Y33" s="2457"/>
      <c r="Z33" s="1136"/>
      <c r="AA33" s="1136"/>
      <c r="AB33" s="1293">
        <f t="shared" si="0"/>
        <v>0</v>
      </c>
      <c r="AC33" s="1293">
        <f t="shared" si="4"/>
        <v>0</v>
      </c>
      <c r="AD33" s="1293">
        <f t="shared" si="10"/>
        <v>25000</v>
      </c>
      <c r="AE33" s="1293">
        <f t="shared" si="1"/>
        <v>0</v>
      </c>
      <c r="AF33" s="1294"/>
      <c r="AG33" s="1294"/>
      <c r="AH33" s="1294">
        <f t="shared" si="2"/>
        <v>25000</v>
      </c>
      <c r="AI33" s="1294">
        <f t="shared" si="5"/>
        <v>0</v>
      </c>
      <c r="AJ33" s="1293">
        <f t="shared" si="11"/>
        <v>0</v>
      </c>
      <c r="AK33" s="1294"/>
      <c r="AL33" s="1294"/>
      <c r="AM33" s="1294"/>
      <c r="AN33" s="1294"/>
      <c r="AO33" s="1294"/>
      <c r="AP33" s="1294"/>
      <c r="AQ33" s="1294"/>
      <c r="AR33" s="1294">
        <f t="shared" si="3"/>
        <v>0</v>
      </c>
      <c r="AS33" s="1136"/>
      <c r="AT33" s="668">
        <f t="shared" si="6"/>
        <v>0</v>
      </c>
      <c r="AU33" s="463"/>
      <c r="AV33" s="468">
        <f t="shared" si="12"/>
        <v>0</v>
      </c>
      <c r="AW33" s="468">
        <f t="shared" si="7"/>
        <v>55000</v>
      </c>
      <c r="AX33" s="671"/>
      <c r="AY33" s="671"/>
      <c r="AZ33" s="671"/>
      <c r="BA33" s="671"/>
      <c r="BB33" s="671"/>
      <c r="BC33" s="437">
        <f t="shared" si="39"/>
        <v>0</v>
      </c>
      <c r="BD33" s="437"/>
      <c r="BE33">
        <f t="shared" si="8"/>
        <v>183.33333333333331</v>
      </c>
      <c r="BF33" s="437">
        <f t="shared" si="9"/>
        <v>0</v>
      </c>
    </row>
    <row r="34" spans="1:60" ht="39" customHeight="1">
      <c r="A34" s="1376"/>
      <c r="B34" s="1377"/>
      <c r="C34" s="1377"/>
      <c r="D34" s="1373" t="s">
        <v>241</v>
      </c>
      <c r="E34" s="1373" t="s">
        <v>206</v>
      </c>
      <c r="F34" s="1801" t="s">
        <v>231</v>
      </c>
      <c r="G34" s="1843" t="s">
        <v>232</v>
      </c>
      <c r="H34" s="1575"/>
      <c r="I34" s="1386"/>
      <c r="J34" s="1386"/>
      <c r="K34" s="1603"/>
      <c r="L34" s="1612"/>
      <c r="M34" s="1307">
        <v>95000</v>
      </c>
      <c r="N34" s="1308"/>
      <c r="O34" s="1473">
        <f t="shared" si="40"/>
        <v>95000</v>
      </c>
      <c r="P34" s="1610"/>
      <c r="Q34" s="1307">
        <v>80000</v>
      </c>
      <c r="R34" s="1308"/>
      <c r="S34" s="1473">
        <f t="shared" si="41"/>
        <v>80000</v>
      </c>
      <c r="T34" s="1610"/>
      <c r="U34" s="1307">
        <v>90000</v>
      </c>
      <c r="V34" s="1308"/>
      <c r="W34" s="1473">
        <f t="shared" si="42"/>
        <v>90000</v>
      </c>
      <c r="X34" s="1578">
        <f t="shared" si="13"/>
        <v>94.73684210526315</v>
      </c>
      <c r="Y34" s="2457"/>
      <c r="Z34" s="1136"/>
      <c r="AA34" s="1136"/>
      <c r="AB34" s="1293">
        <f t="shared" si="0"/>
        <v>0</v>
      </c>
      <c r="AC34" s="1293">
        <f t="shared" si="4"/>
        <v>0</v>
      </c>
      <c r="AD34" s="1293">
        <f t="shared" si="10"/>
        <v>-5000</v>
      </c>
      <c r="AE34" s="1293">
        <f t="shared" si="1"/>
        <v>0</v>
      </c>
      <c r="AF34" s="1294"/>
      <c r="AG34" s="1294"/>
      <c r="AH34" s="1294">
        <f t="shared" si="2"/>
        <v>0</v>
      </c>
      <c r="AI34" s="1294">
        <f t="shared" si="5"/>
        <v>0</v>
      </c>
      <c r="AJ34" s="1293">
        <f t="shared" si="11"/>
        <v>0</v>
      </c>
      <c r="AK34" s="1294"/>
      <c r="AL34" s="1294"/>
      <c r="AM34" s="1294"/>
      <c r="AN34" s="1294"/>
      <c r="AO34" s="1294"/>
      <c r="AP34" s="1294"/>
      <c r="AQ34" s="1294"/>
      <c r="AR34" s="1294">
        <f t="shared" si="3"/>
        <v>0</v>
      </c>
      <c r="AS34" s="1136"/>
      <c r="AT34" s="668">
        <f t="shared" si="6"/>
        <v>0</v>
      </c>
      <c r="AU34" s="463"/>
      <c r="AV34" s="468">
        <f t="shared" si="12"/>
        <v>0</v>
      </c>
      <c r="AW34" s="468">
        <f t="shared" si="7"/>
        <v>90000</v>
      </c>
      <c r="AX34" s="272"/>
      <c r="AY34" s="272"/>
      <c r="AZ34" s="272"/>
      <c r="BA34" s="272"/>
      <c r="BB34" s="272"/>
      <c r="BC34" s="437">
        <f t="shared" si="39"/>
        <v>0</v>
      </c>
      <c r="BD34" s="437"/>
      <c r="BE34">
        <f t="shared" si="8"/>
        <v>94.73684210526315</v>
      </c>
      <c r="BF34" s="437">
        <f t="shared" si="9"/>
        <v>0</v>
      </c>
    </row>
    <row r="35" spans="1:60" ht="39" customHeight="1">
      <c r="A35" s="1376"/>
      <c r="B35" s="1377"/>
      <c r="C35" s="1377"/>
      <c r="D35" s="1373" t="s">
        <v>319</v>
      </c>
      <c r="E35" s="1373"/>
      <c r="F35" s="1796" t="s">
        <v>228</v>
      </c>
      <c r="G35" s="1842" t="s">
        <v>233</v>
      </c>
      <c r="H35" s="1575">
        <v>14000</v>
      </c>
      <c r="I35" s="1386"/>
      <c r="J35" s="1386"/>
      <c r="K35" s="1603">
        <f t="shared" si="38"/>
        <v>14000</v>
      </c>
      <c r="L35" s="1610">
        <v>10000</v>
      </c>
      <c r="M35" s="1307"/>
      <c r="N35" s="1308"/>
      <c r="O35" s="1473">
        <f t="shared" si="40"/>
        <v>10000</v>
      </c>
      <c r="P35" s="1610">
        <v>46000</v>
      </c>
      <c r="Q35" s="1307"/>
      <c r="R35" s="1308"/>
      <c r="S35" s="1473">
        <f t="shared" si="41"/>
        <v>46000</v>
      </c>
      <c r="T35" s="1610"/>
      <c r="U35" s="1307"/>
      <c r="V35" s="1308"/>
      <c r="W35" s="1473">
        <f t="shared" si="42"/>
        <v>0</v>
      </c>
      <c r="X35" s="1578">
        <f t="shared" si="13"/>
        <v>0</v>
      </c>
      <c r="Y35" s="2457"/>
      <c r="Z35" s="1136"/>
      <c r="AA35" s="1136"/>
      <c r="AB35" s="1293">
        <f t="shared" si="0"/>
        <v>0</v>
      </c>
      <c r="AC35" s="1293">
        <f t="shared" si="4"/>
        <v>0</v>
      </c>
      <c r="AD35" s="1293">
        <f t="shared" si="10"/>
        <v>-10000</v>
      </c>
      <c r="AE35" s="1293">
        <f t="shared" si="1"/>
        <v>0</v>
      </c>
      <c r="AF35" s="1294"/>
      <c r="AG35" s="1294"/>
      <c r="AH35" s="1294">
        <f t="shared" si="2"/>
        <v>-10000</v>
      </c>
      <c r="AI35" s="1294">
        <f t="shared" si="5"/>
        <v>0</v>
      </c>
      <c r="AJ35" s="1293">
        <f t="shared" si="11"/>
        <v>0</v>
      </c>
      <c r="AK35" s="1294"/>
      <c r="AL35" s="1294"/>
      <c r="AM35" s="1294"/>
      <c r="AN35" s="1294"/>
      <c r="AO35" s="1294"/>
      <c r="AP35" s="1294"/>
      <c r="AQ35" s="1294"/>
      <c r="AR35" s="1294">
        <f t="shared" si="3"/>
        <v>0</v>
      </c>
      <c r="AS35" s="1136"/>
      <c r="AT35" s="668">
        <f t="shared" si="6"/>
        <v>0</v>
      </c>
      <c r="AU35" s="463"/>
      <c r="AV35" s="468">
        <f t="shared" si="12"/>
        <v>0</v>
      </c>
      <c r="AW35" s="468">
        <f t="shared" si="7"/>
        <v>0</v>
      </c>
      <c r="AX35" s="272"/>
      <c r="AY35" s="272"/>
      <c r="AZ35" s="272"/>
      <c r="BA35" s="272"/>
      <c r="BB35" s="272"/>
      <c r="BC35" s="437">
        <f t="shared" si="39"/>
        <v>0</v>
      </c>
      <c r="BD35" s="437"/>
      <c r="BE35">
        <f t="shared" si="8"/>
        <v>0</v>
      </c>
      <c r="BF35" s="437">
        <f t="shared" si="9"/>
        <v>0</v>
      </c>
    </row>
    <row r="36" spans="1:60" ht="39" customHeight="1">
      <c r="A36" s="1376"/>
      <c r="B36" s="1377"/>
      <c r="C36" s="1377"/>
      <c r="D36" s="1373" t="s">
        <v>319</v>
      </c>
      <c r="E36" s="1373"/>
      <c r="F36" s="1796" t="s">
        <v>234</v>
      </c>
      <c r="G36" s="1842" t="s">
        <v>235</v>
      </c>
      <c r="H36" s="1575">
        <v>40000</v>
      </c>
      <c r="I36" s="1386"/>
      <c r="J36" s="1386"/>
      <c r="K36" s="1603">
        <f t="shared" si="38"/>
        <v>40000</v>
      </c>
      <c r="L36" s="1610">
        <v>10000</v>
      </c>
      <c r="M36" s="1307"/>
      <c r="N36" s="1308"/>
      <c r="O36" s="1473">
        <f t="shared" si="40"/>
        <v>10000</v>
      </c>
      <c r="P36" s="1610">
        <v>20000</v>
      </c>
      <c r="Q36" s="1307"/>
      <c r="R36" s="1308"/>
      <c r="S36" s="1473">
        <f t="shared" si="41"/>
        <v>20000</v>
      </c>
      <c r="T36" s="1610">
        <v>20000</v>
      </c>
      <c r="U36" s="1307"/>
      <c r="V36" s="1308"/>
      <c r="W36" s="1473">
        <f t="shared" si="42"/>
        <v>20000</v>
      </c>
      <c r="X36" s="1578">
        <f t="shared" si="13"/>
        <v>200</v>
      </c>
      <c r="Y36" s="2457"/>
      <c r="Z36" s="1136"/>
      <c r="AA36" s="1136"/>
      <c r="AB36" s="1293">
        <f t="shared" si="0"/>
        <v>0</v>
      </c>
      <c r="AC36" s="1293">
        <f t="shared" si="4"/>
        <v>0</v>
      </c>
      <c r="AD36" s="1293">
        <f t="shared" si="10"/>
        <v>10000</v>
      </c>
      <c r="AE36" s="1293">
        <f t="shared" si="1"/>
        <v>0</v>
      </c>
      <c r="AF36" s="1294"/>
      <c r="AG36" s="1294"/>
      <c r="AH36" s="1294">
        <f t="shared" si="2"/>
        <v>10000</v>
      </c>
      <c r="AI36" s="1294">
        <f t="shared" si="5"/>
        <v>0</v>
      </c>
      <c r="AJ36" s="1293">
        <f t="shared" si="11"/>
        <v>0</v>
      </c>
      <c r="AK36" s="1294"/>
      <c r="AL36" s="1294"/>
      <c r="AM36" s="1294"/>
      <c r="AN36" s="1294"/>
      <c r="AO36" s="1294"/>
      <c r="AP36" s="1294"/>
      <c r="AQ36" s="1294"/>
      <c r="AR36" s="1294">
        <f t="shared" si="3"/>
        <v>0</v>
      </c>
      <c r="AS36" s="1136"/>
      <c r="AT36" s="668">
        <f t="shared" si="6"/>
        <v>0</v>
      </c>
      <c r="AU36" s="463"/>
      <c r="AV36" s="468">
        <f t="shared" si="12"/>
        <v>0</v>
      </c>
      <c r="AW36" s="468">
        <f t="shared" si="7"/>
        <v>20000</v>
      </c>
      <c r="AX36" s="272"/>
      <c r="AY36" s="272"/>
      <c r="AZ36" s="272"/>
      <c r="BA36" s="272"/>
      <c r="BB36" s="272"/>
      <c r="BC36" s="437">
        <f t="shared" si="39"/>
        <v>0</v>
      </c>
      <c r="BD36" s="437"/>
      <c r="BE36">
        <f t="shared" si="8"/>
        <v>200</v>
      </c>
      <c r="BF36" s="437">
        <f t="shared" si="9"/>
        <v>0</v>
      </c>
    </row>
    <row r="37" spans="1:60" ht="39" customHeight="1">
      <c r="A37" s="1376"/>
      <c r="B37" s="1377"/>
      <c r="C37" s="1377"/>
      <c r="D37" s="1373" t="s">
        <v>319</v>
      </c>
      <c r="E37" s="1373"/>
      <c r="F37" s="1802" t="s">
        <v>195</v>
      </c>
      <c r="G37" s="1844" t="s">
        <v>236</v>
      </c>
      <c r="H37" s="1380">
        <f>SUM(H38)</f>
        <v>7000</v>
      </c>
      <c r="I37" s="1386"/>
      <c r="J37" s="1386"/>
      <c r="K37" s="1600">
        <f>K38</f>
        <v>7000</v>
      </c>
      <c r="L37" s="1601">
        <f>SUM(L38)</f>
        <v>60000</v>
      </c>
      <c r="M37" s="1307"/>
      <c r="N37" s="1308"/>
      <c r="O37" s="1472">
        <f>O38</f>
        <v>60000</v>
      </c>
      <c r="P37" s="1601">
        <f>SUM(P38)</f>
        <v>60000</v>
      </c>
      <c r="Q37" s="1307"/>
      <c r="R37" s="1308"/>
      <c r="S37" s="1472">
        <f>SUM(S38)</f>
        <v>60000</v>
      </c>
      <c r="T37" s="1601">
        <f>SUM(T38)</f>
        <v>60000</v>
      </c>
      <c r="U37" s="1307"/>
      <c r="V37" s="1308"/>
      <c r="W37" s="1472">
        <f>W38</f>
        <v>60000</v>
      </c>
      <c r="X37" s="1578">
        <f t="shared" si="13"/>
        <v>100</v>
      </c>
      <c r="Y37" s="2457">
        <f>'[1]PRIH REBALANS'!$AK$352</f>
        <v>60000</v>
      </c>
      <c r="Z37" s="1136"/>
      <c r="AA37" s="1136">
        <f>'[9]PRIH REBALANS'!$AK$352</f>
        <v>60000</v>
      </c>
      <c r="AB37" s="1293">
        <f t="shared" si="0"/>
        <v>0</v>
      </c>
      <c r="AC37" s="1293">
        <f t="shared" si="4"/>
        <v>0</v>
      </c>
      <c r="AD37" s="1293">
        <f t="shared" si="10"/>
        <v>0</v>
      </c>
      <c r="AE37" s="1293">
        <f t="shared" si="1"/>
        <v>0</v>
      </c>
      <c r="AF37" s="1294"/>
      <c r="AG37" s="1294"/>
      <c r="AH37" s="1294">
        <f t="shared" si="2"/>
        <v>0</v>
      </c>
      <c r="AI37" s="1294">
        <f t="shared" si="5"/>
        <v>0</v>
      </c>
      <c r="AJ37" s="1293">
        <f t="shared" si="11"/>
        <v>0</v>
      </c>
      <c r="AK37" s="1294"/>
      <c r="AL37" s="1294"/>
      <c r="AM37" s="1294"/>
      <c r="AN37" s="1294"/>
      <c r="AO37" s="1294"/>
      <c r="AP37" s="1294"/>
      <c r="AQ37" s="1294"/>
      <c r="AR37" s="1294">
        <f t="shared" ref="AR37:AR68" si="43">T37+U37+V37-W37</f>
        <v>0</v>
      </c>
      <c r="AS37" s="1136"/>
      <c r="AT37" s="668">
        <f t="shared" si="6"/>
        <v>0</v>
      </c>
      <c r="AU37" s="463">
        <f>W38</f>
        <v>60000</v>
      </c>
      <c r="AV37" s="468">
        <f t="shared" si="12"/>
        <v>0</v>
      </c>
      <c r="AW37" s="468">
        <f t="shared" si="7"/>
        <v>60000</v>
      </c>
      <c r="AX37" s="672"/>
      <c r="AY37" s="672"/>
      <c r="AZ37" s="672"/>
      <c r="BA37" s="672"/>
      <c r="BB37" s="672"/>
      <c r="BC37" s="437">
        <f t="shared" si="39"/>
        <v>0</v>
      </c>
      <c r="BD37" s="437"/>
      <c r="BE37">
        <f t="shared" si="8"/>
        <v>100</v>
      </c>
      <c r="BF37" s="437">
        <f t="shared" si="9"/>
        <v>0</v>
      </c>
      <c r="BG37" s="209">
        <f>SUM(W38)</f>
        <v>60000</v>
      </c>
    </row>
    <row r="38" spans="1:60" ht="39" customHeight="1">
      <c r="A38" s="1376"/>
      <c r="B38" s="1377"/>
      <c r="C38" s="1377"/>
      <c r="D38" s="1373" t="s">
        <v>319</v>
      </c>
      <c r="E38" s="1373"/>
      <c r="F38" s="1796"/>
      <c r="G38" s="1845" t="s">
        <v>236</v>
      </c>
      <c r="H38" s="1575">
        <v>7000</v>
      </c>
      <c r="I38" s="1386"/>
      <c r="J38" s="1386"/>
      <c r="K38" s="1603">
        <f t="shared" ref="K38:K42" si="44">SUM(H38:J38)</f>
        <v>7000</v>
      </c>
      <c r="L38" s="1610">
        <v>60000</v>
      </c>
      <c r="M38" s="1307"/>
      <c r="N38" s="1308"/>
      <c r="O38" s="1473">
        <f t="shared" ref="O38:O42" si="45">SUM(L38:N38)</f>
        <v>60000</v>
      </c>
      <c r="P38" s="1610">
        <v>60000</v>
      </c>
      <c r="Q38" s="1307"/>
      <c r="R38" s="1308"/>
      <c r="S38" s="1473">
        <f t="shared" ref="S38" si="46">SUM(P38:R38)</f>
        <v>60000</v>
      </c>
      <c r="T38" s="1610">
        <v>60000</v>
      </c>
      <c r="U38" s="1307"/>
      <c r="V38" s="1308"/>
      <c r="W38" s="1473">
        <f t="shared" ref="W38" si="47">SUM(T38:V38)</f>
        <v>60000</v>
      </c>
      <c r="X38" s="1578">
        <f t="shared" si="13"/>
        <v>100</v>
      </c>
      <c r="Y38" s="2457"/>
      <c r="Z38" s="1136"/>
      <c r="AA38" s="1136"/>
      <c r="AB38" s="1293">
        <f t="shared" si="0"/>
        <v>0</v>
      </c>
      <c r="AC38" s="1293">
        <f t="shared" si="4"/>
        <v>0</v>
      </c>
      <c r="AD38" s="1293">
        <f t="shared" si="10"/>
        <v>0</v>
      </c>
      <c r="AE38" s="1293">
        <f t="shared" si="1"/>
        <v>0</v>
      </c>
      <c r="AF38" s="1294"/>
      <c r="AG38" s="1294"/>
      <c r="AH38" s="1294">
        <f t="shared" si="2"/>
        <v>0</v>
      </c>
      <c r="AI38" s="1294">
        <f t="shared" ref="AI38:AI69" si="48">T38+U38+V38-W38</f>
        <v>0</v>
      </c>
      <c r="AJ38" s="1293">
        <f t="shared" si="11"/>
        <v>0</v>
      </c>
      <c r="AK38" s="1294"/>
      <c r="AL38" s="1294"/>
      <c r="AM38" s="1294"/>
      <c r="AN38" s="1294"/>
      <c r="AO38" s="1294"/>
      <c r="AP38" s="1294"/>
      <c r="AQ38" s="1294"/>
      <c r="AR38" s="1294">
        <f t="shared" si="43"/>
        <v>0</v>
      </c>
      <c r="AS38" s="1136"/>
      <c r="AT38" s="668">
        <f t="shared" ref="AT38:AT70" si="49">T38+U38+V38-W38</f>
        <v>0</v>
      </c>
      <c r="AU38" s="463"/>
      <c r="AV38" s="468">
        <f t="shared" si="12"/>
        <v>0</v>
      </c>
      <c r="AW38" s="468">
        <f t="shared" ref="AW38:AW69" si="50">W38-AV38</f>
        <v>60000</v>
      </c>
      <c r="AX38" s="671"/>
      <c r="AY38" s="671"/>
      <c r="AZ38" s="671"/>
      <c r="BA38" s="671"/>
      <c r="BB38" s="671"/>
      <c r="BC38" s="437">
        <f t="shared" si="39"/>
        <v>0</v>
      </c>
      <c r="BD38" s="437"/>
      <c r="BE38">
        <f t="shared" si="8"/>
        <v>100</v>
      </c>
      <c r="BF38" s="437">
        <f t="shared" ref="BF38:BF69" si="51">BE38-X38</f>
        <v>0</v>
      </c>
    </row>
    <row r="39" spans="1:60" ht="39" customHeight="1">
      <c r="A39" s="1572"/>
      <c r="B39" s="1573"/>
      <c r="C39" s="1573"/>
      <c r="D39" s="1373" t="s">
        <v>319</v>
      </c>
      <c r="E39" s="1373" t="s">
        <v>206</v>
      </c>
      <c r="F39" s="1799">
        <v>613991</v>
      </c>
      <c r="G39" s="1846" t="s">
        <v>1211</v>
      </c>
      <c r="H39" s="1380">
        <v>5000</v>
      </c>
      <c r="I39" s="1386"/>
      <c r="J39" s="1386"/>
      <c r="K39" s="1600">
        <f t="shared" si="44"/>
        <v>5000</v>
      </c>
      <c r="L39" s="1614">
        <v>20000</v>
      </c>
      <c r="M39" s="1307"/>
      <c r="N39" s="1308"/>
      <c r="O39" s="1479">
        <f t="shared" si="45"/>
        <v>20000</v>
      </c>
      <c r="P39" s="1614">
        <v>20000</v>
      </c>
      <c r="Q39" s="1307"/>
      <c r="R39" s="1308"/>
      <c r="S39" s="1472">
        <v>20000</v>
      </c>
      <c r="T39" s="1614">
        <v>20000</v>
      </c>
      <c r="U39" s="1307"/>
      <c r="V39" s="1308"/>
      <c r="W39" s="1479">
        <f t="shared" ref="W39:W42" si="52">SUM(T39:V39)</f>
        <v>20000</v>
      </c>
      <c r="X39" s="1578">
        <f t="shared" si="13"/>
        <v>100</v>
      </c>
      <c r="Y39" s="2457"/>
      <c r="Z39" s="1136"/>
      <c r="AA39" s="1136"/>
      <c r="AB39" s="1293">
        <f t="shared" si="0"/>
        <v>0</v>
      </c>
      <c r="AC39" s="1293">
        <f t="shared" si="4"/>
        <v>0</v>
      </c>
      <c r="AD39" s="1293">
        <f t="shared" si="10"/>
        <v>0</v>
      </c>
      <c r="AE39" s="1293">
        <f t="shared" si="1"/>
        <v>0</v>
      </c>
      <c r="AF39" s="1294"/>
      <c r="AG39" s="1294"/>
      <c r="AH39" s="1294">
        <f t="shared" si="2"/>
        <v>0</v>
      </c>
      <c r="AI39" s="1294">
        <f t="shared" si="48"/>
        <v>0</v>
      </c>
      <c r="AJ39" s="1293">
        <f t="shared" si="11"/>
        <v>0</v>
      </c>
      <c r="AK39" s="1294"/>
      <c r="AL39" s="1294"/>
      <c r="AM39" s="1294"/>
      <c r="AN39" s="1294"/>
      <c r="AO39" s="1294"/>
      <c r="AP39" s="1294"/>
      <c r="AQ39" s="1294"/>
      <c r="AR39" s="1294">
        <f t="shared" si="43"/>
        <v>0</v>
      </c>
      <c r="AS39" s="1136"/>
      <c r="AT39" s="668">
        <f t="shared" si="49"/>
        <v>0</v>
      </c>
      <c r="AU39" s="463"/>
      <c r="AV39" s="468">
        <f t="shared" si="12"/>
        <v>0</v>
      </c>
      <c r="AW39" s="468">
        <f t="shared" si="50"/>
        <v>20000</v>
      </c>
      <c r="AX39" s="463"/>
      <c r="AY39" s="463"/>
      <c r="AZ39" s="463"/>
      <c r="BA39" s="463"/>
      <c r="BB39" s="463"/>
      <c r="BC39" s="437">
        <f t="shared" si="39"/>
        <v>0</v>
      </c>
      <c r="BD39" s="437"/>
      <c r="BE39">
        <f t="shared" si="8"/>
        <v>100</v>
      </c>
      <c r="BF39" s="437">
        <f t="shared" si="51"/>
        <v>0</v>
      </c>
    </row>
    <row r="40" spans="1:60" ht="39" customHeight="1">
      <c r="A40" s="1572"/>
      <c r="B40" s="1573"/>
      <c r="C40" s="1573"/>
      <c r="D40" s="1373" t="s">
        <v>319</v>
      </c>
      <c r="E40" s="1373" t="s">
        <v>206</v>
      </c>
      <c r="F40" s="1803">
        <v>614323</v>
      </c>
      <c r="G40" s="1846" t="s">
        <v>667</v>
      </c>
      <c r="H40" s="1380">
        <v>5000</v>
      </c>
      <c r="I40" s="1615"/>
      <c r="J40" s="1615"/>
      <c r="K40" s="1600">
        <f t="shared" si="44"/>
        <v>5000</v>
      </c>
      <c r="L40" s="1614">
        <v>520000</v>
      </c>
      <c r="M40" s="1310"/>
      <c r="N40" s="1311"/>
      <c r="O40" s="1479">
        <f t="shared" si="45"/>
        <v>520000</v>
      </c>
      <c r="P40" s="1614">
        <v>520000</v>
      </c>
      <c r="Q40" s="1310"/>
      <c r="R40" s="1311"/>
      <c r="S40" s="1472">
        <v>520000</v>
      </c>
      <c r="T40" s="1614">
        <v>520000</v>
      </c>
      <c r="U40" s="1310"/>
      <c r="V40" s="1311"/>
      <c r="W40" s="1479">
        <f t="shared" si="52"/>
        <v>520000</v>
      </c>
      <c r="X40" s="1578">
        <f t="shared" si="13"/>
        <v>100</v>
      </c>
      <c r="Y40" s="2457"/>
      <c r="Z40" s="1136"/>
      <c r="AA40" s="1136"/>
      <c r="AB40" s="1293">
        <f t="shared" si="0"/>
        <v>0</v>
      </c>
      <c r="AC40" s="1293">
        <f t="shared" si="4"/>
        <v>0</v>
      </c>
      <c r="AD40" s="1293">
        <f t="shared" si="10"/>
        <v>0</v>
      </c>
      <c r="AE40" s="1293">
        <f t="shared" si="1"/>
        <v>0</v>
      </c>
      <c r="AF40" s="1294"/>
      <c r="AG40" s="1294"/>
      <c r="AH40" s="1294">
        <f t="shared" si="2"/>
        <v>0</v>
      </c>
      <c r="AI40" s="1294">
        <f t="shared" si="48"/>
        <v>0</v>
      </c>
      <c r="AJ40" s="1293">
        <f t="shared" si="11"/>
        <v>0</v>
      </c>
      <c r="AK40" s="1294"/>
      <c r="AL40" s="1294"/>
      <c r="AM40" s="1294"/>
      <c r="AN40" s="1294"/>
      <c r="AO40" s="1294"/>
      <c r="AP40" s="1294"/>
      <c r="AQ40" s="1294"/>
      <c r="AR40" s="1294">
        <f t="shared" si="43"/>
        <v>0</v>
      </c>
      <c r="AS40" s="1136"/>
      <c r="AT40" s="668">
        <f t="shared" si="49"/>
        <v>0</v>
      </c>
      <c r="AU40" s="463"/>
      <c r="AV40" s="468">
        <f t="shared" si="12"/>
        <v>0</v>
      </c>
      <c r="AW40" s="468">
        <f t="shared" si="50"/>
        <v>520000</v>
      </c>
      <c r="AX40" s="463"/>
      <c r="AY40" s="463"/>
      <c r="AZ40" s="463"/>
      <c r="BA40" s="463"/>
      <c r="BB40" s="463"/>
      <c r="BC40" s="437">
        <f t="shared" si="39"/>
        <v>0</v>
      </c>
      <c r="BD40" s="437"/>
      <c r="BE40">
        <f t="shared" si="8"/>
        <v>100</v>
      </c>
      <c r="BF40" s="437">
        <f t="shared" si="51"/>
        <v>0</v>
      </c>
    </row>
    <row r="41" spans="1:60" ht="39" customHeight="1">
      <c r="A41" s="1572"/>
      <c r="B41" s="1573"/>
      <c r="C41" s="1573"/>
      <c r="D41" s="1373" t="s">
        <v>319</v>
      </c>
      <c r="E41" s="1373"/>
      <c r="F41" s="1803" t="s">
        <v>238</v>
      </c>
      <c r="G41" s="1846" t="s">
        <v>239</v>
      </c>
      <c r="H41" s="1380"/>
      <c r="I41" s="1616"/>
      <c r="J41" s="1615"/>
      <c r="K41" s="1600"/>
      <c r="L41" s="1617">
        <v>30000</v>
      </c>
      <c r="M41" s="1310"/>
      <c r="N41" s="1311"/>
      <c r="O41" s="1479">
        <f t="shared" si="45"/>
        <v>30000</v>
      </c>
      <c r="P41" s="1617">
        <v>20000</v>
      </c>
      <c r="Q41" s="1310"/>
      <c r="R41" s="1311"/>
      <c r="S41" s="1472">
        <v>20000</v>
      </c>
      <c r="T41" s="1617">
        <v>30000</v>
      </c>
      <c r="U41" s="1310"/>
      <c r="V41" s="1311"/>
      <c r="W41" s="1479">
        <f t="shared" si="52"/>
        <v>30000</v>
      </c>
      <c r="X41" s="1578">
        <f t="shared" si="13"/>
        <v>100</v>
      </c>
      <c r="Y41" s="2457"/>
      <c r="Z41" s="1136"/>
      <c r="AA41" s="1136"/>
      <c r="AB41" s="1293">
        <f t="shared" si="0"/>
        <v>0</v>
      </c>
      <c r="AC41" s="1293">
        <f t="shared" si="4"/>
        <v>0</v>
      </c>
      <c r="AD41" s="1293">
        <f t="shared" si="10"/>
        <v>0</v>
      </c>
      <c r="AE41" s="1293">
        <f t="shared" si="1"/>
        <v>0</v>
      </c>
      <c r="AF41" s="1294"/>
      <c r="AG41" s="1294"/>
      <c r="AH41" s="1294">
        <f t="shared" si="2"/>
        <v>0</v>
      </c>
      <c r="AI41" s="1294">
        <f t="shared" si="48"/>
        <v>0</v>
      </c>
      <c r="AJ41" s="1293">
        <f t="shared" si="11"/>
        <v>0</v>
      </c>
      <c r="AK41" s="1294"/>
      <c r="AL41" s="1294"/>
      <c r="AM41" s="1294"/>
      <c r="AN41" s="1294"/>
      <c r="AO41" s="1294"/>
      <c r="AP41" s="1294"/>
      <c r="AQ41" s="1294"/>
      <c r="AR41" s="1294">
        <f t="shared" si="43"/>
        <v>0</v>
      </c>
      <c r="AS41" s="1136"/>
      <c r="AT41" s="668">
        <f t="shared" si="49"/>
        <v>0</v>
      </c>
      <c r="AU41" s="463"/>
      <c r="AV41" s="468">
        <f t="shared" si="12"/>
        <v>0</v>
      </c>
      <c r="AW41" s="468">
        <f t="shared" si="50"/>
        <v>30000</v>
      </c>
      <c r="AX41" s="463"/>
      <c r="AY41" s="463"/>
      <c r="AZ41" s="463"/>
      <c r="BA41" s="463"/>
      <c r="BB41" s="463"/>
      <c r="BC41" s="437">
        <f t="shared" si="39"/>
        <v>0</v>
      </c>
      <c r="BD41" s="437"/>
      <c r="BE41">
        <f t="shared" si="8"/>
        <v>100</v>
      </c>
      <c r="BF41" s="437">
        <f t="shared" si="51"/>
        <v>0</v>
      </c>
    </row>
    <row r="42" spans="1:60" ht="39" customHeight="1">
      <c r="A42" s="1572"/>
      <c r="B42" s="1573"/>
      <c r="C42" s="1573"/>
      <c r="D42" s="1373" t="s">
        <v>337</v>
      </c>
      <c r="E42" s="1373" t="s">
        <v>206</v>
      </c>
      <c r="F42" s="1803">
        <v>614124</v>
      </c>
      <c r="G42" s="1846" t="s">
        <v>792</v>
      </c>
      <c r="H42" s="1380"/>
      <c r="I42" s="1616">
        <v>8817</v>
      </c>
      <c r="J42" s="1615"/>
      <c r="K42" s="1600">
        <f t="shared" si="44"/>
        <v>8817</v>
      </c>
      <c r="L42" s="1617"/>
      <c r="M42" s="1312"/>
      <c r="N42" s="1494">
        <v>8817</v>
      </c>
      <c r="O42" s="1479">
        <f t="shared" si="45"/>
        <v>8817</v>
      </c>
      <c r="P42" s="1617"/>
      <c r="Q42" s="1312"/>
      <c r="R42" s="1311"/>
      <c r="S42" s="1472">
        <v>9000</v>
      </c>
      <c r="T42" s="1617"/>
      <c r="U42" s="1312"/>
      <c r="V42" s="1494"/>
      <c r="W42" s="1479">
        <f t="shared" si="52"/>
        <v>0</v>
      </c>
      <c r="X42" s="1578">
        <f t="shared" si="13"/>
        <v>0</v>
      </c>
      <c r="Y42" s="2457"/>
      <c r="Z42" s="1136"/>
      <c r="AA42" s="1136"/>
      <c r="AB42" s="1293">
        <f t="shared" si="0"/>
        <v>0</v>
      </c>
      <c r="AC42" s="1293">
        <f t="shared" si="4"/>
        <v>0</v>
      </c>
      <c r="AD42" s="1293">
        <f t="shared" si="10"/>
        <v>-8817</v>
      </c>
      <c r="AE42" s="1293">
        <f t="shared" si="1"/>
        <v>0</v>
      </c>
      <c r="AF42" s="1294"/>
      <c r="AG42" s="1294"/>
      <c r="AH42" s="1294">
        <f t="shared" si="2"/>
        <v>0</v>
      </c>
      <c r="AI42" s="1294">
        <f t="shared" si="48"/>
        <v>0</v>
      </c>
      <c r="AJ42" s="1293">
        <f t="shared" si="11"/>
        <v>0</v>
      </c>
      <c r="AK42" s="1294"/>
      <c r="AL42" s="1294"/>
      <c r="AM42" s="1294"/>
      <c r="AN42" s="1294"/>
      <c r="AO42" s="1294"/>
      <c r="AP42" s="1294"/>
      <c r="AQ42" s="1294"/>
      <c r="AR42" s="1294">
        <f t="shared" si="43"/>
        <v>0</v>
      </c>
      <c r="AS42" s="1136"/>
      <c r="AT42" s="668">
        <f t="shared" si="49"/>
        <v>0</v>
      </c>
      <c r="AU42" s="463"/>
      <c r="AV42" s="468">
        <f t="shared" si="12"/>
        <v>0</v>
      </c>
      <c r="AW42" s="468">
        <f t="shared" si="50"/>
        <v>0</v>
      </c>
      <c r="AX42" s="463"/>
      <c r="AY42" s="463"/>
      <c r="AZ42" s="463"/>
      <c r="BA42" s="463"/>
      <c r="BB42" s="463"/>
      <c r="BC42" s="437">
        <f t="shared" si="39"/>
        <v>0</v>
      </c>
      <c r="BD42" s="437"/>
      <c r="BE42">
        <f t="shared" si="8"/>
        <v>0</v>
      </c>
      <c r="BF42" s="437">
        <f t="shared" si="51"/>
        <v>0</v>
      </c>
    </row>
    <row r="43" spans="1:60" ht="39" customHeight="1">
      <c r="A43" s="1594" t="s">
        <v>243</v>
      </c>
      <c r="B43" s="1595" t="s">
        <v>204</v>
      </c>
      <c r="C43" s="1618" t="s">
        <v>205</v>
      </c>
      <c r="D43" s="1596">
        <v>111</v>
      </c>
      <c r="E43" s="1596" t="s">
        <v>206</v>
      </c>
      <c r="F43" s="1804"/>
      <c r="G43" s="1834" t="s">
        <v>244</v>
      </c>
      <c r="H43" s="1619" t="e">
        <f>SUM(H45,H72,H77,#REF!)</f>
        <v>#REF!</v>
      </c>
      <c r="I43" s="1619" t="e">
        <f>SUM(I45,I72,I77,#REF!)</f>
        <v>#REF!</v>
      </c>
      <c r="J43" s="1619" t="e">
        <f>SUM(J45,J72,J77,#REF!)</f>
        <v>#REF!</v>
      </c>
      <c r="K43" s="1585" t="e">
        <f>SUM(K45,K72:K72,K77,#REF!)</f>
        <v>#REF!</v>
      </c>
      <c r="L43" s="1620">
        <f>SUM(L45,L72,L77,L78)</f>
        <v>1307750</v>
      </c>
      <c r="M43" s="1313">
        <f>SUM(M45,M72,M77,)</f>
        <v>0</v>
      </c>
      <c r="N43" s="1314">
        <f>SUM(N45,N72,N77,)</f>
        <v>0</v>
      </c>
      <c r="O43" s="1335">
        <f>SUM(O45,O72:O72,O77,O78)</f>
        <v>1307750</v>
      </c>
      <c r="P43" s="1620">
        <f>SUM(P45+P72+P77+P78)</f>
        <v>431450</v>
      </c>
      <c r="Q43" s="1313"/>
      <c r="R43" s="1314"/>
      <c r="S43" s="1335">
        <f>SUM(S45+S72+S77+S78)</f>
        <v>430450</v>
      </c>
      <c r="T43" s="1620">
        <f>SUM(T45+T72+T78+T79+T77)</f>
        <v>1234050</v>
      </c>
      <c r="U43" s="1313"/>
      <c r="V43" s="1314"/>
      <c r="W43" s="1315">
        <f>SUM(W45+W72+W78+W79+W77)</f>
        <v>1234050</v>
      </c>
      <c r="X43" s="1598">
        <f t="shared" si="13"/>
        <v>94.364366277958325</v>
      </c>
      <c r="Y43" s="758">
        <f>'[1]PRIH REBALANS'!$AK$361</f>
        <v>1234050</v>
      </c>
      <c r="Z43" s="1135"/>
      <c r="AA43" s="1135">
        <f>'[9]PRIH REBALANS'!$AK$361</f>
        <v>1234050</v>
      </c>
      <c r="AB43" s="1293">
        <f t="shared" si="0"/>
        <v>0</v>
      </c>
      <c r="AC43" s="1293">
        <f t="shared" si="4"/>
        <v>0</v>
      </c>
      <c r="AD43" s="1293">
        <f t="shared" si="10"/>
        <v>-73700</v>
      </c>
      <c r="AE43" s="1293">
        <f t="shared" si="1"/>
        <v>0</v>
      </c>
      <c r="AF43" s="1293"/>
      <c r="AG43" s="1293"/>
      <c r="AH43" s="1294">
        <f t="shared" si="2"/>
        <v>-73700</v>
      </c>
      <c r="AI43" s="1294">
        <f t="shared" si="48"/>
        <v>0</v>
      </c>
      <c r="AJ43" s="1293">
        <f t="shared" si="11"/>
        <v>0</v>
      </c>
      <c r="AK43" s="1294"/>
      <c r="AL43" s="1294"/>
      <c r="AM43" s="1294"/>
      <c r="AN43" s="1294"/>
      <c r="AO43" s="1294"/>
      <c r="AP43" s="1294"/>
      <c r="AQ43" s="1294">
        <f>W43-O43</f>
        <v>-73700</v>
      </c>
      <c r="AR43" s="1294">
        <f t="shared" si="43"/>
        <v>0</v>
      </c>
      <c r="AS43" s="1135">
        <f>SUM(AS47,AS50,AS54,AS56,AS72,W76:W78)</f>
        <v>1359050</v>
      </c>
      <c r="AT43" s="668">
        <f t="shared" si="49"/>
        <v>0</v>
      </c>
      <c r="AU43" s="668">
        <f>SUM(AU47,AU50,AU54,AU56,AU72,W76,AU78)</f>
        <v>1359050</v>
      </c>
      <c r="AV43" s="468">
        <f>'[3]PRIH REBALANS'!$AK$380</f>
        <v>1307750</v>
      </c>
      <c r="AW43" s="468">
        <f t="shared" si="50"/>
        <v>-73700</v>
      </c>
      <c r="AX43" s="672"/>
      <c r="AY43" s="672"/>
      <c r="AZ43" s="672"/>
      <c r="BA43" s="672"/>
      <c r="BB43" s="672"/>
      <c r="BC43" s="437">
        <f>'[2]PRIH REBALANS'!$AK$380</f>
        <v>1322750</v>
      </c>
      <c r="BD43" s="437">
        <f>BC43-W43</f>
        <v>88700</v>
      </c>
      <c r="BE43" s="209">
        <f>T43-W43</f>
        <v>0</v>
      </c>
      <c r="BF43" s="437">
        <f t="shared" si="51"/>
        <v>-94.364366277958325</v>
      </c>
      <c r="BG43" s="468">
        <f>SUM(BG44:BG56,BG72,BG77,BG78)</f>
        <v>1359050</v>
      </c>
      <c r="BH43" s="209">
        <f>BG43-W43</f>
        <v>125000</v>
      </c>
    </row>
    <row r="44" spans="1:60" ht="39" customHeight="1">
      <c r="A44" s="1594"/>
      <c r="B44" s="1595"/>
      <c r="C44" s="1618"/>
      <c r="D44" s="1596"/>
      <c r="E44" s="1596"/>
      <c r="F44" s="1804"/>
      <c r="G44" s="1834" t="s">
        <v>245</v>
      </c>
      <c r="H44" s="1619">
        <v>15</v>
      </c>
      <c r="I44" s="1619"/>
      <c r="J44" s="1619"/>
      <c r="K44" s="1585"/>
      <c r="L44" s="1620"/>
      <c r="M44" s="1313"/>
      <c r="N44" s="1314"/>
      <c r="O44" s="1335"/>
      <c r="P44" s="1620"/>
      <c r="Q44" s="1313"/>
      <c r="R44" s="1314"/>
      <c r="S44" s="1335"/>
      <c r="T44" s="1620"/>
      <c r="U44" s="1313"/>
      <c r="V44" s="1314"/>
      <c r="W44" s="1315"/>
      <c r="X44" s="1598"/>
      <c r="Y44" s="758"/>
      <c r="Z44" s="1135"/>
      <c r="AA44" s="1135"/>
      <c r="AB44" s="1293">
        <f t="shared" si="0"/>
        <v>0</v>
      </c>
      <c r="AC44" s="1293">
        <f t="shared" si="4"/>
        <v>0</v>
      </c>
      <c r="AD44" s="1293">
        <f t="shared" si="10"/>
        <v>0</v>
      </c>
      <c r="AE44" s="1293">
        <f t="shared" si="1"/>
        <v>0</v>
      </c>
      <c r="AF44" s="1293"/>
      <c r="AG44" s="1293"/>
      <c r="AH44" s="1294">
        <f t="shared" si="2"/>
        <v>0</v>
      </c>
      <c r="AI44" s="1294">
        <f t="shared" si="48"/>
        <v>0</v>
      </c>
      <c r="AJ44" s="1293">
        <f t="shared" si="11"/>
        <v>0</v>
      </c>
      <c r="AK44" s="1294"/>
      <c r="AL44" s="1294"/>
      <c r="AM44" s="1294"/>
      <c r="AN44" s="1294"/>
      <c r="AO44" s="1294"/>
      <c r="AP44" s="1294"/>
      <c r="AQ44" s="1294">
        <f>W44-O44</f>
        <v>0</v>
      </c>
      <c r="AR44" s="1294">
        <f t="shared" si="43"/>
        <v>0</v>
      </c>
      <c r="AS44" s="1135"/>
      <c r="AT44" s="668">
        <f t="shared" si="49"/>
        <v>0</v>
      </c>
      <c r="AU44" s="668"/>
      <c r="AV44" s="468">
        <f t="shared" ref="AV44:AV70" si="53">T44+U44+V44-W44</f>
        <v>0</v>
      </c>
      <c r="AW44" s="468">
        <f t="shared" si="50"/>
        <v>0</v>
      </c>
      <c r="AX44" s="668"/>
      <c r="AY44" s="668"/>
      <c r="AZ44" s="668"/>
      <c r="BA44" s="668"/>
      <c r="BB44" s="668"/>
      <c r="BC44" s="437">
        <f>T44+U44+V44+-W44</f>
        <v>0</v>
      </c>
      <c r="BD44" s="437"/>
      <c r="BE44" s="209">
        <f>'[2]PRIH REBALANS'!$AG$380</f>
        <v>1322750</v>
      </c>
      <c r="BF44" s="437">
        <f t="shared" si="51"/>
        <v>1322750</v>
      </c>
    </row>
    <row r="45" spans="1:60" ht="39" customHeight="1">
      <c r="A45" s="1621"/>
      <c r="B45" s="1622"/>
      <c r="C45" s="1622"/>
      <c r="D45" s="1383">
        <v>111</v>
      </c>
      <c r="E45" s="1383" t="s">
        <v>206</v>
      </c>
      <c r="F45" s="1802"/>
      <c r="G45" s="1847" t="s">
        <v>670</v>
      </c>
      <c r="H45" s="1380">
        <f t="shared" ref="H45:O45" si="54">SUM(H46,H54,H56)</f>
        <v>970190</v>
      </c>
      <c r="I45" s="1380">
        <f t="shared" si="54"/>
        <v>0</v>
      </c>
      <c r="J45" s="1380">
        <f t="shared" si="54"/>
        <v>0</v>
      </c>
      <c r="K45" s="1381">
        <f t="shared" si="54"/>
        <v>970190</v>
      </c>
      <c r="L45" s="1601">
        <f t="shared" si="54"/>
        <v>1028110</v>
      </c>
      <c r="M45" s="1303">
        <f t="shared" si="54"/>
        <v>0</v>
      </c>
      <c r="N45" s="1304">
        <f t="shared" si="54"/>
        <v>0</v>
      </c>
      <c r="O45" s="1336">
        <f t="shared" si="54"/>
        <v>1028110</v>
      </c>
      <c r="P45" s="1601">
        <f>SUM(P46+P54+P56)</f>
        <v>244000</v>
      </c>
      <c r="Q45" s="1303"/>
      <c r="R45" s="1304"/>
      <c r="S45" s="1336">
        <f>SUM(S46+S54+S56)</f>
        <v>244000</v>
      </c>
      <c r="T45" s="1601">
        <f>SUM(T46,T54,T56)</f>
        <v>952200</v>
      </c>
      <c r="U45" s="1303"/>
      <c r="V45" s="1304"/>
      <c r="W45" s="1316">
        <f>SUM(W46,W54,W56)</f>
        <v>952200</v>
      </c>
      <c r="X45" s="1578">
        <f t="shared" si="13"/>
        <v>92.616548812870221</v>
      </c>
      <c r="Y45" s="2457">
        <f>'[1]PRIH REBALANS'!$AK$363</f>
        <v>952200</v>
      </c>
      <c r="Z45" s="1136"/>
      <c r="AA45" s="1136"/>
      <c r="AB45" s="1293">
        <f t="shared" si="0"/>
        <v>0</v>
      </c>
      <c r="AC45" s="1293">
        <f t="shared" si="4"/>
        <v>0</v>
      </c>
      <c r="AD45" s="1293">
        <f t="shared" si="10"/>
        <v>-75910</v>
      </c>
      <c r="AE45" s="1293">
        <f t="shared" si="1"/>
        <v>0</v>
      </c>
      <c r="AF45" s="1294"/>
      <c r="AG45" s="1294"/>
      <c r="AH45" s="1294">
        <f t="shared" si="2"/>
        <v>-75910</v>
      </c>
      <c r="AI45" s="1294">
        <f t="shared" si="48"/>
        <v>0</v>
      </c>
      <c r="AJ45" s="1293">
        <f t="shared" si="11"/>
        <v>0</v>
      </c>
      <c r="AK45" s="1294"/>
      <c r="AL45" s="1294"/>
      <c r="AM45" s="1294"/>
      <c r="AN45" s="1294"/>
      <c r="AO45" s="1294"/>
      <c r="AP45" s="1294"/>
      <c r="AQ45" s="1294">
        <f>W45-O45</f>
        <v>-75910</v>
      </c>
      <c r="AR45" s="1294">
        <f t="shared" si="43"/>
        <v>0</v>
      </c>
      <c r="AS45" s="1136"/>
      <c r="AT45" s="668">
        <f t="shared" si="49"/>
        <v>0</v>
      </c>
      <c r="AU45" s="463"/>
      <c r="AV45" s="468">
        <f t="shared" si="53"/>
        <v>0</v>
      </c>
      <c r="AW45" s="468">
        <f t="shared" si="50"/>
        <v>952200</v>
      </c>
      <c r="AX45" s="463"/>
      <c r="AY45" s="463"/>
      <c r="AZ45" s="463"/>
      <c r="BA45" s="463"/>
      <c r="BB45" s="463"/>
      <c r="BC45" s="437">
        <f>T45+U45+V45+-W45</f>
        <v>0</v>
      </c>
      <c r="BD45" s="437"/>
      <c r="BE45" s="209">
        <f t="shared" ref="BE45:BE70" si="55">T45-W45</f>
        <v>0</v>
      </c>
      <c r="BF45" s="437">
        <f t="shared" si="51"/>
        <v>-92.616548812870221</v>
      </c>
    </row>
    <row r="46" spans="1:60" ht="39" customHeight="1">
      <c r="A46" s="1621"/>
      <c r="B46" s="1622"/>
      <c r="C46" s="1622"/>
      <c r="D46" s="1383">
        <v>111</v>
      </c>
      <c r="E46" s="1383"/>
      <c r="F46" s="1802">
        <v>611000</v>
      </c>
      <c r="G46" s="1848" t="s">
        <v>658</v>
      </c>
      <c r="H46" s="1380">
        <f t="shared" ref="H46:O46" si="56">SUM(H47,H50)</f>
        <v>569100</v>
      </c>
      <c r="I46" s="1380">
        <f t="shared" si="56"/>
        <v>0</v>
      </c>
      <c r="J46" s="1380">
        <f t="shared" si="56"/>
        <v>0</v>
      </c>
      <c r="K46" s="1381">
        <f t="shared" si="56"/>
        <v>569100</v>
      </c>
      <c r="L46" s="1601">
        <f t="shared" si="56"/>
        <v>649110</v>
      </c>
      <c r="M46" s="1303">
        <f t="shared" si="56"/>
        <v>0</v>
      </c>
      <c r="N46" s="1304">
        <f t="shared" si="56"/>
        <v>0</v>
      </c>
      <c r="O46" s="1336">
        <f t="shared" si="56"/>
        <v>649110</v>
      </c>
      <c r="P46" s="1601">
        <f>SUM(P47+P50)</f>
        <v>0</v>
      </c>
      <c r="Q46" s="1303"/>
      <c r="R46" s="1304"/>
      <c r="S46" s="1336">
        <f>SUM(S47+S50)</f>
        <v>0</v>
      </c>
      <c r="T46" s="1601">
        <f>SUM(T47,T50)</f>
        <v>648200</v>
      </c>
      <c r="U46" s="1303"/>
      <c r="V46" s="1304"/>
      <c r="W46" s="1316">
        <f>SUM(W47,W50)</f>
        <v>648200</v>
      </c>
      <c r="X46" s="1578">
        <f t="shared" si="13"/>
        <v>99.859808044861438</v>
      </c>
      <c r="Y46" s="2457"/>
      <c r="Z46" s="1136"/>
      <c r="AA46" s="1136"/>
      <c r="AB46" s="1293">
        <f t="shared" si="0"/>
        <v>0</v>
      </c>
      <c r="AC46" s="1293">
        <f t="shared" si="4"/>
        <v>0</v>
      </c>
      <c r="AD46" s="1293">
        <f t="shared" si="10"/>
        <v>-910</v>
      </c>
      <c r="AE46" s="1293">
        <f t="shared" si="1"/>
        <v>0</v>
      </c>
      <c r="AF46" s="1294"/>
      <c r="AG46" s="1294"/>
      <c r="AH46" s="1294">
        <f t="shared" si="2"/>
        <v>-910</v>
      </c>
      <c r="AI46" s="1294">
        <f t="shared" si="48"/>
        <v>0</v>
      </c>
      <c r="AJ46" s="1293">
        <f t="shared" si="11"/>
        <v>0</v>
      </c>
      <c r="AK46" s="1294"/>
      <c r="AL46" s="1294"/>
      <c r="AM46" s="1294"/>
      <c r="AN46" s="1294"/>
      <c r="AO46" s="1294"/>
      <c r="AP46" s="1294"/>
      <c r="AQ46" s="1294">
        <f>W46-O46</f>
        <v>-910</v>
      </c>
      <c r="AR46" s="1294">
        <f t="shared" si="43"/>
        <v>0</v>
      </c>
      <c r="AS46" s="1136"/>
      <c r="AT46" s="668">
        <f t="shared" si="49"/>
        <v>0</v>
      </c>
      <c r="AU46" s="463"/>
      <c r="AV46" s="468">
        <f t="shared" si="53"/>
        <v>0</v>
      </c>
      <c r="AW46" s="468">
        <f t="shared" si="50"/>
        <v>648200</v>
      </c>
      <c r="AX46" s="463"/>
      <c r="AY46" s="463"/>
      <c r="AZ46" s="463"/>
      <c r="BA46" s="463"/>
      <c r="BB46" s="463"/>
      <c r="BC46" s="437">
        <f>T46+U46+V46+-W46</f>
        <v>0</v>
      </c>
      <c r="BD46" s="437"/>
      <c r="BE46" s="209">
        <f t="shared" si="55"/>
        <v>0</v>
      </c>
      <c r="BF46" s="437">
        <f t="shared" si="51"/>
        <v>-99.859808044861438</v>
      </c>
    </row>
    <row r="47" spans="1:60" ht="39" customHeight="1">
      <c r="A47" s="1621"/>
      <c r="B47" s="1622"/>
      <c r="C47" s="1622"/>
      <c r="D47" s="1383">
        <v>111</v>
      </c>
      <c r="E47" s="1383" t="s">
        <v>206</v>
      </c>
      <c r="F47" s="1802" t="s">
        <v>166</v>
      </c>
      <c r="G47" s="1848" t="s">
        <v>657</v>
      </c>
      <c r="H47" s="1380">
        <f t="shared" ref="H47:K47" si="57">SUM(H48:H49)</f>
        <v>527000</v>
      </c>
      <c r="I47" s="1380">
        <f t="shared" si="57"/>
        <v>0</v>
      </c>
      <c r="J47" s="1380">
        <f t="shared" si="57"/>
        <v>0</v>
      </c>
      <c r="K47" s="1381">
        <f t="shared" si="57"/>
        <v>527000</v>
      </c>
      <c r="L47" s="1601">
        <f t="shared" ref="L47:O47" si="58">SUM(L48:L49)</f>
        <v>600000</v>
      </c>
      <c r="M47" s="1303">
        <f t="shared" si="58"/>
        <v>0</v>
      </c>
      <c r="N47" s="1304">
        <f t="shared" si="58"/>
        <v>0</v>
      </c>
      <c r="O47" s="1336">
        <f t="shared" si="58"/>
        <v>600000</v>
      </c>
      <c r="P47" s="1601">
        <f>SUM(P48:P49)</f>
        <v>0</v>
      </c>
      <c r="Q47" s="1303"/>
      <c r="R47" s="1304"/>
      <c r="S47" s="1336">
        <f>SUM(S48:S49)</f>
        <v>0</v>
      </c>
      <c r="T47" s="1601">
        <f>SUM(T48:T49)</f>
        <v>600000</v>
      </c>
      <c r="U47" s="1303"/>
      <c r="V47" s="1304"/>
      <c r="W47" s="1316">
        <f>SUM(W48:W49)</f>
        <v>600000</v>
      </c>
      <c r="X47" s="1578">
        <f t="shared" si="13"/>
        <v>100</v>
      </c>
      <c r="Y47" s="2457"/>
      <c r="Z47" s="1136"/>
      <c r="AA47" s="1136">
        <f>'[9]PRIH REBALANS'!$AL$365</f>
        <v>600000</v>
      </c>
      <c r="AB47" s="1293">
        <f t="shared" si="0"/>
        <v>0</v>
      </c>
      <c r="AC47" s="1293">
        <f t="shared" si="4"/>
        <v>0</v>
      </c>
      <c r="AD47" s="1293">
        <f t="shared" si="10"/>
        <v>0</v>
      </c>
      <c r="AE47" s="1293">
        <f t="shared" si="1"/>
        <v>0</v>
      </c>
      <c r="AF47" s="1294"/>
      <c r="AG47" s="1294"/>
      <c r="AH47" s="1294">
        <f t="shared" si="2"/>
        <v>0</v>
      </c>
      <c r="AI47" s="1294">
        <f t="shared" si="48"/>
        <v>0</v>
      </c>
      <c r="AJ47" s="1293">
        <f t="shared" si="11"/>
        <v>0</v>
      </c>
      <c r="AK47" s="1294"/>
      <c r="AL47" s="1294"/>
      <c r="AM47" s="1294"/>
      <c r="AN47" s="1294"/>
      <c r="AO47" s="1294"/>
      <c r="AP47" s="1294"/>
      <c r="AQ47" s="1294">
        <f>W47-O47</f>
        <v>0</v>
      </c>
      <c r="AR47" s="1294">
        <f t="shared" si="43"/>
        <v>0</v>
      </c>
      <c r="AS47" s="1136">
        <f>SUM(W48:W49)</f>
        <v>600000</v>
      </c>
      <c r="AT47" s="668">
        <f t="shared" si="49"/>
        <v>0</v>
      </c>
      <c r="AU47" s="463">
        <f>SUM(W48:W49)</f>
        <v>600000</v>
      </c>
      <c r="AV47" s="468">
        <f t="shared" si="53"/>
        <v>0</v>
      </c>
      <c r="AW47" s="468">
        <f t="shared" si="50"/>
        <v>600000</v>
      </c>
      <c r="AX47" s="463"/>
      <c r="AY47" s="463"/>
      <c r="AZ47" s="463"/>
      <c r="BA47" s="463"/>
      <c r="BB47" s="463"/>
      <c r="BC47" s="437">
        <f>'[2]PRIH REBALANS'!$AK$384</f>
        <v>600000</v>
      </c>
      <c r="BD47" s="437"/>
      <c r="BE47" s="209">
        <f t="shared" si="55"/>
        <v>0</v>
      </c>
      <c r="BF47" s="437">
        <f t="shared" si="51"/>
        <v>-100</v>
      </c>
      <c r="BG47" s="209">
        <f>SUM(W48:W49)</f>
        <v>600000</v>
      </c>
      <c r="BH47" s="209">
        <f>BG47-W47</f>
        <v>0</v>
      </c>
    </row>
    <row r="48" spans="1:60" ht="39" customHeight="1">
      <c r="A48" s="1621"/>
      <c r="B48" s="1622"/>
      <c r="C48" s="1622"/>
      <c r="D48" s="1383">
        <v>111</v>
      </c>
      <c r="E48" s="1383"/>
      <c r="F48" s="1805" t="s">
        <v>209</v>
      </c>
      <c r="G48" s="1845" t="s">
        <v>210</v>
      </c>
      <c r="H48" s="1575">
        <v>362000</v>
      </c>
      <c r="I48" s="1575"/>
      <c r="J48" s="1575"/>
      <c r="K48" s="1374">
        <f>SUM(H48:J48)</f>
        <v>362000</v>
      </c>
      <c r="L48" s="1623">
        <v>410000</v>
      </c>
      <c r="M48" s="1301"/>
      <c r="N48" s="1302"/>
      <c r="O48" s="1375">
        <f>SUM(L48:N48)</f>
        <v>410000</v>
      </c>
      <c r="P48" s="1623"/>
      <c r="Q48" s="1301"/>
      <c r="R48" s="1302"/>
      <c r="S48" s="1375">
        <f>SUM(P48:R48)</f>
        <v>0</v>
      </c>
      <c r="T48" s="1623">
        <v>410000</v>
      </c>
      <c r="U48" s="1301"/>
      <c r="V48" s="1302"/>
      <c r="W48" s="1375">
        <f>SUM(T48:V48)</f>
        <v>410000</v>
      </c>
      <c r="X48" s="1578">
        <f t="shared" si="13"/>
        <v>100</v>
      </c>
      <c r="Y48" s="2457"/>
      <c r="Z48" s="1136"/>
      <c r="AA48" s="1136"/>
      <c r="AB48" s="1293">
        <f t="shared" si="0"/>
        <v>0</v>
      </c>
      <c r="AC48" s="1293">
        <f t="shared" si="4"/>
        <v>0</v>
      </c>
      <c r="AD48" s="1293">
        <f t="shared" si="10"/>
        <v>0</v>
      </c>
      <c r="AE48" s="1293">
        <f t="shared" si="1"/>
        <v>0</v>
      </c>
      <c r="AF48" s="1294"/>
      <c r="AG48" s="1294"/>
      <c r="AH48" s="1294">
        <f t="shared" si="2"/>
        <v>0</v>
      </c>
      <c r="AI48" s="1294">
        <f t="shared" si="48"/>
        <v>0</v>
      </c>
      <c r="AJ48" s="1293">
        <f t="shared" si="11"/>
        <v>0</v>
      </c>
      <c r="AK48" s="1294"/>
      <c r="AL48" s="1294"/>
      <c r="AM48" s="1294"/>
      <c r="AN48" s="1294"/>
      <c r="AO48" s="1294"/>
      <c r="AP48" s="1294"/>
      <c r="AQ48" s="1294">
        <f>W92</f>
        <v>500</v>
      </c>
      <c r="AR48" s="1294">
        <f t="shared" si="43"/>
        <v>0</v>
      </c>
      <c r="AS48" s="1136"/>
      <c r="AT48" s="668">
        <f t="shared" si="49"/>
        <v>0</v>
      </c>
      <c r="AU48" s="463"/>
      <c r="AV48" s="468">
        <f t="shared" si="53"/>
        <v>0</v>
      </c>
      <c r="AW48" s="468">
        <f t="shared" si="50"/>
        <v>410000</v>
      </c>
      <c r="AX48" s="463"/>
      <c r="AY48" s="463"/>
      <c r="AZ48" s="463"/>
      <c r="BA48" s="463"/>
      <c r="BB48" s="463"/>
      <c r="BC48" s="437">
        <f>T48+U48+V48+-W48</f>
        <v>0</v>
      </c>
      <c r="BD48" s="437"/>
      <c r="BE48" s="209">
        <f t="shared" si="55"/>
        <v>0</v>
      </c>
      <c r="BF48" s="437">
        <f t="shared" si="51"/>
        <v>-100</v>
      </c>
    </row>
    <row r="49" spans="1:60" ht="39" customHeight="1">
      <c r="A49" s="1621"/>
      <c r="B49" s="1622"/>
      <c r="C49" s="1622"/>
      <c r="D49" s="1383">
        <v>111</v>
      </c>
      <c r="E49" s="1383"/>
      <c r="F49" s="1805" t="s">
        <v>211</v>
      </c>
      <c r="G49" s="1849" t="s">
        <v>659</v>
      </c>
      <c r="H49" s="1575">
        <v>165000</v>
      </c>
      <c r="I49" s="1575"/>
      <c r="J49" s="1575"/>
      <c r="K49" s="1374">
        <f>SUM(H49:J49)</f>
        <v>165000</v>
      </c>
      <c r="L49" s="1623">
        <v>190000</v>
      </c>
      <c r="M49" s="1301"/>
      <c r="N49" s="1302"/>
      <c r="O49" s="1375">
        <f>SUM(L49:N49)</f>
        <v>190000</v>
      </c>
      <c r="P49" s="1623"/>
      <c r="Q49" s="1301"/>
      <c r="R49" s="1302"/>
      <c r="S49" s="1375">
        <f>SUM(P49:R49)</f>
        <v>0</v>
      </c>
      <c r="T49" s="1623">
        <v>190000</v>
      </c>
      <c r="U49" s="1301"/>
      <c r="V49" s="1302"/>
      <c r="W49" s="1375">
        <f>SUM(T49:V49)</f>
        <v>190000</v>
      </c>
      <c r="X49" s="1578">
        <f t="shared" si="13"/>
        <v>100</v>
      </c>
      <c r="Y49" s="2457"/>
      <c r="Z49" s="1136"/>
      <c r="AA49" s="1136"/>
      <c r="AB49" s="1293">
        <f t="shared" si="0"/>
        <v>0</v>
      </c>
      <c r="AC49" s="1293">
        <f t="shared" si="4"/>
        <v>0</v>
      </c>
      <c r="AD49" s="1293">
        <f t="shared" si="10"/>
        <v>0</v>
      </c>
      <c r="AE49" s="1293">
        <f t="shared" si="1"/>
        <v>0</v>
      </c>
      <c r="AF49" s="1294"/>
      <c r="AG49" s="1294"/>
      <c r="AH49" s="1294">
        <f t="shared" si="2"/>
        <v>0</v>
      </c>
      <c r="AI49" s="1294">
        <f t="shared" si="48"/>
        <v>0</v>
      </c>
      <c r="AJ49" s="1293">
        <f t="shared" si="11"/>
        <v>0</v>
      </c>
      <c r="AK49" s="1294"/>
      <c r="AL49" s="1294"/>
      <c r="AM49" s="1294"/>
      <c r="AN49" s="1294"/>
      <c r="AO49" s="1294"/>
      <c r="AP49" s="1294"/>
      <c r="AQ49" s="1294">
        <f t="shared" ref="AQ49:AQ77" si="59">W49-O49</f>
        <v>0</v>
      </c>
      <c r="AR49" s="1294">
        <f t="shared" si="43"/>
        <v>0</v>
      </c>
      <c r="AS49" s="1136"/>
      <c r="AT49" s="668">
        <f t="shared" si="49"/>
        <v>0</v>
      </c>
      <c r="AU49" s="463"/>
      <c r="AV49" s="468">
        <f t="shared" si="53"/>
        <v>0</v>
      </c>
      <c r="AW49" s="468">
        <f t="shared" si="50"/>
        <v>190000</v>
      </c>
      <c r="AX49" s="463"/>
      <c r="AY49" s="463"/>
      <c r="AZ49" s="463"/>
      <c r="BA49" s="463"/>
      <c r="BB49" s="463"/>
      <c r="BC49" s="437">
        <f>T49+U49+V49+-W49</f>
        <v>0</v>
      </c>
      <c r="BD49" s="437"/>
      <c r="BE49" s="209">
        <f t="shared" si="55"/>
        <v>0</v>
      </c>
      <c r="BF49" s="437">
        <f t="shared" si="51"/>
        <v>-100</v>
      </c>
    </row>
    <row r="50" spans="1:60" ht="39" customHeight="1">
      <c r="A50" s="1621"/>
      <c r="B50" s="1622"/>
      <c r="C50" s="1622"/>
      <c r="D50" s="1383">
        <v>111</v>
      </c>
      <c r="E50" s="1383" t="s">
        <v>206</v>
      </c>
      <c r="F50" s="1802">
        <v>611200</v>
      </c>
      <c r="G50" s="1848" t="s">
        <v>213</v>
      </c>
      <c r="H50" s="1380">
        <f t="shared" ref="H50:O50" si="60">SUM(H51:H53)</f>
        <v>42100</v>
      </c>
      <c r="I50" s="1380">
        <f t="shared" si="60"/>
        <v>0</v>
      </c>
      <c r="J50" s="1380">
        <f t="shared" si="60"/>
        <v>0</v>
      </c>
      <c r="K50" s="1381">
        <f t="shared" si="60"/>
        <v>42100</v>
      </c>
      <c r="L50" s="1601">
        <f t="shared" si="60"/>
        <v>49110</v>
      </c>
      <c r="M50" s="1303">
        <f t="shared" si="60"/>
        <v>0</v>
      </c>
      <c r="N50" s="1304">
        <f t="shared" si="60"/>
        <v>0</v>
      </c>
      <c r="O50" s="1336">
        <f t="shared" si="60"/>
        <v>49110</v>
      </c>
      <c r="P50" s="1601">
        <f>SUM(P51:P53)</f>
        <v>0</v>
      </c>
      <c r="Q50" s="1303"/>
      <c r="R50" s="1304"/>
      <c r="S50" s="1336">
        <f>SUM(S51:S53)</f>
        <v>0</v>
      </c>
      <c r="T50" s="1601">
        <f>SUM(T51:T53)</f>
        <v>48200</v>
      </c>
      <c r="U50" s="1303"/>
      <c r="V50" s="1304"/>
      <c r="W50" s="1316">
        <f>SUM(W51:W53)</f>
        <v>48200</v>
      </c>
      <c r="X50" s="1578">
        <f t="shared" si="13"/>
        <v>98.147016900834856</v>
      </c>
      <c r="Y50" s="2457"/>
      <c r="Z50" s="1136"/>
      <c r="AA50" s="1136">
        <f>'[9]PRIH REBALANS'!$AK$370</f>
        <v>48200</v>
      </c>
      <c r="AB50" s="1293">
        <f t="shared" si="0"/>
        <v>0</v>
      </c>
      <c r="AC50" s="1293">
        <f t="shared" si="4"/>
        <v>0</v>
      </c>
      <c r="AD50" s="1293">
        <f t="shared" si="10"/>
        <v>-910</v>
      </c>
      <c r="AE50" s="1293">
        <f t="shared" si="1"/>
        <v>0</v>
      </c>
      <c r="AF50" s="1294"/>
      <c r="AG50" s="1294"/>
      <c r="AH50" s="1294">
        <f t="shared" si="2"/>
        <v>-910</v>
      </c>
      <c r="AI50" s="1294">
        <f t="shared" si="48"/>
        <v>0</v>
      </c>
      <c r="AJ50" s="1293">
        <f t="shared" si="11"/>
        <v>0</v>
      </c>
      <c r="AK50" s="1294"/>
      <c r="AL50" s="1294"/>
      <c r="AM50" s="1294"/>
      <c r="AN50" s="1294"/>
      <c r="AO50" s="1294"/>
      <c r="AP50" s="1294"/>
      <c r="AQ50" s="1294">
        <f t="shared" si="59"/>
        <v>-910</v>
      </c>
      <c r="AR50" s="1294">
        <f t="shared" si="43"/>
        <v>0</v>
      </c>
      <c r="AS50" s="1136">
        <f>SUM(W51:W53)</f>
        <v>48200</v>
      </c>
      <c r="AT50" s="668">
        <f t="shared" si="49"/>
        <v>0</v>
      </c>
      <c r="AU50" s="463">
        <f>SUM(W51:W53)</f>
        <v>48200</v>
      </c>
      <c r="AV50" s="468">
        <f t="shared" si="53"/>
        <v>0</v>
      </c>
      <c r="AW50" s="468">
        <f t="shared" si="50"/>
        <v>48200</v>
      </c>
      <c r="AX50" s="463"/>
      <c r="AY50" s="463"/>
      <c r="AZ50" s="463"/>
      <c r="BA50" s="463"/>
      <c r="BB50" s="463"/>
      <c r="BC50" s="437">
        <f>'[2]PRIH REBALANS'!$AK$389</f>
        <v>49110</v>
      </c>
      <c r="BD50" s="437"/>
      <c r="BE50" s="209">
        <f t="shared" si="55"/>
        <v>0</v>
      </c>
      <c r="BF50" s="437">
        <f t="shared" si="51"/>
        <v>-98.147016900834856</v>
      </c>
      <c r="BG50" s="209">
        <f>SUM(W51:W53)</f>
        <v>48200</v>
      </c>
      <c r="BH50" s="209">
        <f>BG50-W50</f>
        <v>0</v>
      </c>
    </row>
    <row r="51" spans="1:60" ht="39" customHeight="1">
      <c r="A51" s="1621"/>
      <c r="B51" s="1622"/>
      <c r="C51" s="1622"/>
      <c r="D51" s="1383">
        <v>111</v>
      </c>
      <c r="E51" s="1383"/>
      <c r="F51" s="1805">
        <v>611211</v>
      </c>
      <c r="G51" s="1849" t="s">
        <v>660</v>
      </c>
      <c r="H51" s="1575">
        <v>3600</v>
      </c>
      <c r="I51" s="1575"/>
      <c r="J51" s="1575"/>
      <c r="K51" s="1374">
        <f>SUM(H51:J51)</f>
        <v>3600</v>
      </c>
      <c r="L51" s="1623">
        <v>4200</v>
      </c>
      <c r="M51" s="1301"/>
      <c r="N51" s="1302"/>
      <c r="O51" s="1375">
        <f>SUM(L51:N51)</f>
        <v>4200</v>
      </c>
      <c r="P51" s="1623"/>
      <c r="Q51" s="1301"/>
      <c r="R51" s="1302"/>
      <c r="S51" s="1375">
        <f>SUM(P51:R51)</f>
        <v>0</v>
      </c>
      <c r="T51" s="1623">
        <v>4200</v>
      </c>
      <c r="U51" s="1301"/>
      <c r="V51" s="1302"/>
      <c r="W51" s="1375">
        <f>SUM(T51:V51)</f>
        <v>4200</v>
      </c>
      <c r="X51" s="1578">
        <f t="shared" si="13"/>
        <v>100</v>
      </c>
      <c r="Y51" s="2457"/>
      <c r="Z51" s="1136"/>
      <c r="AA51" s="1136"/>
      <c r="AB51" s="1293">
        <f t="shared" si="0"/>
        <v>0</v>
      </c>
      <c r="AC51" s="1293">
        <f t="shared" si="4"/>
        <v>0</v>
      </c>
      <c r="AD51" s="1293">
        <f t="shared" si="10"/>
        <v>0</v>
      </c>
      <c r="AE51" s="1293">
        <f t="shared" si="1"/>
        <v>0</v>
      </c>
      <c r="AF51" s="1294"/>
      <c r="AG51" s="1294"/>
      <c r="AH51" s="1294">
        <f t="shared" si="2"/>
        <v>0</v>
      </c>
      <c r="AI51" s="1294">
        <f t="shared" si="48"/>
        <v>0</v>
      </c>
      <c r="AJ51" s="1293">
        <f t="shared" si="11"/>
        <v>0</v>
      </c>
      <c r="AK51" s="1294"/>
      <c r="AL51" s="1294"/>
      <c r="AM51" s="1294"/>
      <c r="AN51" s="1294"/>
      <c r="AO51" s="1294"/>
      <c r="AP51" s="1294"/>
      <c r="AQ51" s="1294">
        <f t="shared" si="59"/>
        <v>0</v>
      </c>
      <c r="AR51" s="1294">
        <f t="shared" si="43"/>
        <v>0</v>
      </c>
      <c r="AS51" s="1136"/>
      <c r="AT51" s="668">
        <f t="shared" si="49"/>
        <v>0</v>
      </c>
      <c r="AU51" s="463"/>
      <c r="AV51" s="468">
        <f t="shared" si="53"/>
        <v>0</v>
      </c>
      <c r="AW51" s="468">
        <f t="shared" si="50"/>
        <v>4200</v>
      </c>
      <c r="AX51" s="463"/>
      <c r="AY51" s="463"/>
      <c r="AZ51" s="463"/>
      <c r="BA51" s="463"/>
      <c r="BB51" s="463"/>
      <c r="BC51" s="437">
        <f>T51+U51+V51+-W51</f>
        <v>0</v>
      </c>
      <c r="BD51" s="437"/>
      <c r="BE51" s="209">
        <f t="shared" si="55"/>
        <v>0</v>
      </c>
      <c r="BF51" s="437">
        <f t="shared" si="51"/>
        <v>-100</v>
      </c>
    </row>
    <row r="52" spans="1:60" ht="39" customHeight="1">
      <c r="A52" s="1621"/>
      <c r="B52" s="1622"/>
      <c r="C52" s="1622"/>
      <c r="D52" s="1383">
        <v>111</v>
      </c>
      <c r="E52" s="1383"/>
      <c r="F52" s="1806">
        <v>611221</v>
      </c>
      <c r="G52" s="1845" t="s">
        <v>661</v>
      </c>
      <c r="H52" s="1575">
        <v>30000</v>
      </c>
      <c r="I52" s="1575"/>
      <c r="J52" s="1575"/>
      <c r="K52" s="1374">
        <f>SUM(H52:J52)</f>
        <v>30000</v>
      </c>
      <c r="L52" s="1623">
        <v>36000</v>
      </c>
      <c r="M52" s="1301"/>
      <c r="N52" s="1302"/>
      <c r="O52" s="1375">
        <f t="shared" ref="O52:O53" si="61">SUM(L52:N52)</f>
        <v>36000</v>
      </c>
      <c r="P52" s="1577"/>
      <c r="Q52" s="1301"/>
      <c r="R52" s="1302"/>
      <c r="S52" s="1375">
        <f t="shared" ref="S52:S53" si="62">SUM(P52:R52)</f>
        <v>0</v>
      </c>
      <c r="T52" s="1577">
        <v>35000</v>
      </c>
      <c r="U52" s="1301"/>
      <c r="V52" s="1302"/>
      <c r="W52" s="1375">
        <f t="shared" ref="W52:W53" si="63">SUM(T52:V52)</f>
        <v>35000</v>
      </c>
      <c r="X52" s="1578">
        <f t="shared" si="13"/>
        <v>97.222222222222214</v>
      </c>
      <c r="Y52" s="2457"/>
      <c r="Z52" s="1136"/>
      <c r="AA52" s="1136"/>
      <c r="AB52" s="1293">
        <f t="shared" si="0"/>
        <v>0</v>
      </c>
      <c r="AC52" s="1293">
        <f t="shared" si="4"/>
        <v>0</v>
      </c>
      <c r="AD52" s="1293">
        <f t="shared" si="10"/>
        <v>-1000</v>
      </c>
      <c r="AE52" s="1293">
        <f t="shared" si="1"/>
        <v>0</v>
      </c>
      <c r="AF52" s="1294"/>
      <c r="AG52" s="1294"/>
      <c r="AH52" s="1294">
        <f t="shared" si="2"/>
        <v>-1000</v>
      </c>
      <c r="AI52" s="1294">
        <f t="shared" si="48"/>
        <v>0</v>
      </c>
      <c r="AJ52" s="1293">
        <f t="shared" si="11"/>
        <v>0</v>
      </c>
      <c r="AK52" s="1294"/>
      <c r="AL52" s="1294"/>
      <c r="AM52" s="1294"/>
      <c r="AN52" s="1294"/>
      <c r="AO52" s="1294"/>
      <c r="AP52" s="1294"/>
      <c r="AQ52" s="1294">
        <f t="shared" si="59"/>
        <v>-1000</v>
      </c>
      <c r="AR52" s="1294">
        <f t="shared" si="43"/>
        <v>0</v>
      </c>
      <c r="AS52" s="1136"/>
      <c r="AT52" s="668">
        <f t="shared" si="49"/>
        <v>0</v>
      </c>
      <c r="AU52" s="463"/>
      <c r="AV52" s="468">
        <f t="shared" si="53"/>
        <v>0</v>
      </c>
      <c r="AW52" s="468">
        <f t="shared" si="50"/>
        <v>35000</v>
      </c>
      <c r="AX52" s="463"/>
      <c r="AY52" s="463"/>
      <c r="AZ52" s="463"/>
      <c r="BA52" s="463"/>
      <c r="BB52" s="463"/>
      <c r="BC52" s="437">
        <f>T52+U52+V52+-W52</f>
        <v>0</v>
      </c>
      <c r="BD52" s="437"/>
      <c r="BE52" s="209">
        <f t="shared" si="55"/>
        <v>0</v>
      </c>
      <c r="BF52" s="437">
        <f t="shared" si="51"/>
        <v>-97.222222222222214</v>
      </c>
    </row>
    <row r="53" spans="1:60" ht="39" customHeight="1">
      <c r="A53" s="1621"/>
      <c r="B53" s="1622"/>
      <c r="C53" s="1622"/>
      <c r="D53" s="1383">
        <v>111</v>
      </c>
      <c r="E53" s="1383"/>
      <c r="F53" s="1806">
        <v>611224</v>
      </c>
      <c r="G53" s="1845" t="s">
        <v>214</v>
      </c>
      <c r="H53" s="1575">
        <v>8500</v>
      </c>
      <c r="I53" s="1575"/>
      <c r="J53" s="1575"/>
      <c r="K53" s="1374">
        <f>SUM(H53:J53)</f>
        <v>8500</v>
      </c>
      <c r="L53" s="1623">
        <v>8910</v>
      </c>
      <c r="M53" s="1301"/>
      <c r="N53" s="1302"/>
      <c r="O53" s="1375">
        <f t="shared" si="61"/>
        <v>8910</v>
      </c>
      <c r="P53" s="1577"/>
      <c r="Q53" s="1301"/>
      <c r="R53" s="1302"/>
      <c r="S53" s="1375">
        <f t="shared" si="62"/>
        <v>0</v>
      </c>
      <c r="T53" s="1577">
        <v>9000</v>
      </c>
      <c r="U53" s="1301"/>
      <c r="V53" s="1302"/>
      <c r="W53" s="1375">
        <f t="shared" si="63"/>
        <v>9000</v>
      </c>
      <c r="X53" s="1578">
        <f t="shared" si="13"/>
        <v>101.01010101010101</v>
      </c>
      <c r="Y53" s="2457"/>
      <c r="Z53" s="1136"/>
      <c r="AA53" s="1136"/>
      <c r="AB53" s="1293">
        <f t="shared" si="0"/>
        <v>0</v>
      </c>
      <c r="AC53" s="1293">
        <f t="shared" si="4"/>
        <v>0</v>
      </c>
      <c r="AD53" s="1293">
        <f t="shared" si="10"/>
        <v>90</v>
      </c>
      <c r="AE53" s="1293">
        <f t="shared" si="1"/>
        <v>0</v>
      </c>
      <c r="AF53" s="1294"/>
      <c r="AG53" s="1294"/>
      <c r="AH53" s="1294">
        <f t="shared" si="2"/>
        <v>90</v>
      </c>
      <c r="AI53" s="1294">
        <f t="shared" si="48"/>
        <v>0</v>
      </c>
      <c r="AJ53" s="1293">
        <f t="shared" si="11"/>
        <v>0</v>
      </c>
      <c r="AK53" s="1294"/>
      <c r="AL53" s="1294"/>
      <c r="AM53" s="1294"/>
      <c r="AN53" s="1294"/>
      <c r="AO53" s="1294"/>
      <c r="AP53" s="1294"/>
      <c r="AQ53" s="1294">
        <f t="shared" si="59"/>
        <v>90</v>
      </c>
      <c r="AR53" s="1294">
        <f t="shared" si="43"/>
        <v>0</v>
      </c>
      <c r="AS53" s="1136"/>
      <c r="AT53" s="668">
        <f t="shared" si="49"/>
        <v>0</v>
      </c>
      <c r="AU53" s="463"/>
      <c r="AV53" s="468">
        <f t="shared" si="53"/>
        <v>0</v>
      </c>
      <c r="AW53" s="468">
        <f t="shared" si="50"/>
        <v>9000</v>
      </c>
      <c r="AX53" s="463"/>
      <c r="AY53" s="463"/>
      <c r="AZ53" s="463"/>
      <c r="BA53" s="463"/>
      <c r="BB53" s="463"/>
      <c r="BC53" s="437">
        <f>T53+U53+V53+-W53</f>
        <v>0</v>
      </c>
      <c r="BD53" s="437"/>
      <c r="BE53" s="209">
        <f t="shared" si="55"/>
        <v>0</v>
      </c>
      <c r="BF53" s="437">
        <f t="shared" si="51"/>
        <v>-101.01010101010101</v>
      </c>
    </row>
    <row r="54" spans="1:60" ht="39" customHeight="1">
      <c r="A54" s="1621"/>
      <c r="B54" s="1622"/>
      <c r="C54" s="1622"/>
      <c r="D54" s="1383">
        <v>111</v>
      </c>
      <c r="E54" s="1383"/>
      <c r="F54" s="1802">
        <v>612000</v>
      </c>
      <c r="G54" s="1848" t="s">
        <v>216</v>
      </c>
      <c r="H54" s="1380">
        <f t="shared" ref="H54:O54" si="64">SUM(H55)</f>
        <v>55000</v>
      </c>
      <c r="I54" s="1380">
        <f t="shared" si="64"/>
        <v>0</v>
      </c>
      <c r="J54" s="1380">
        <f t="shared" si="64"/>
        <v>0</v>
      </c>
      <c r="K54" s="1381">
        <f t="shared" si="64"/>
        <v>55000</v>
      </c>
      <c r="L54" s="1601">
        <f t="shared" si="64"/>
        <v>65000</v>
      </c>
      <c r="M54" s="1303">
        <f t="shared" si="64"/>
        <v>0</v>
      </c>
      <c r="N54" s="1304">
        <f t="shared" si="64"/>
        <v>0</v>
      </c>
      <c r="O54" s="1336">
        <f t="shared" si="64"/>
        <v>65000</v>
      </c>
      <c r="P54" s="1601">
        <f>SUM(P55)</f>
        <v>0</v>
      </c>
      <c r="Q54" s="1303"/>
      <c r="R54" s="1304"/>
      <c r="S54" s="1336">
        <f>SUM(S55)</f>
        <v>0</v>
      </c>
      <c r="T54" s="1601">
        <f>SUM(T55)</f>
        <v>65000</v>
      </c>
      <c r="U54" s="1303"/>
      <c r="V54" s="1304"/>
      <c r="W54" s="1316">
        <f>SUM(W55)</f>
        <v>65000</v>
      </c>
      <c r="X54" s="1578">
        <f t="shared" si="13"/>
        <v>100</v>
      </c>
      <c r="Y54" s="2457"/>
      <c r="Z54" s="1136"/>
      <c r="AA54" s="1136">
        <f>'[9]PRIH REBALANS'!$AK$374</f>
        <v>65000</v>
      </c>
      <c r="AB54" s="1293">
        <f t="shared" si="0"/>
        <v>0</v>
      </c>
      <c r="AC54" s="1293">
        <f t="shared" si="4"/>
        <v>0</v>
      </c>
      <c r="AD54" s="1293">
        <f t="shared" si="10"/>
        <v>0</v>
      </c>
      <c r="AE54" s="1293">
        <f t="shared" si="1"/>
        <v>0</v>
      </c>
      <c r="AF54" s="1294"/>
      <c r="AG54" s="1294"/>
      <c r="AH54" s="1294">
        <f t="shared" si="2"/>
        <v>0</v>
      </c>
      <c r="AI54" s="1294">
        <f t="shared" si="48"/>
        <v>0</v>
      </c>
      <c r="AJ54" s="1293">
        <f t="shared" si="11"/>
        <v>0</v>
      </c>
      <c r="AK54" s="1294"/>
      <c r="AL54" s="1294"/>
      <c r="AM54" s="1294"/>
      <c r="AN54" s="1294"/>
      <c r="AO54" s="1294"/>
      <c r="AP54" s="1294"/>
      <c r="AQ54" s="1294">
        <f t="shared" si="59"/>
        <v>0</v>
      </c>
      <c r="AR54" s="1294">
        <f t="shared" si="43"/>
        <v>0</v>
      </c>
      <c r="AS54" s="1136">
        <f>SUM(W55)</f>
        <v>65000</v>
      </c>
      <c r="AT54" s="668">
        <f t="shared" si="49"/>
        <v>0</v>
      </c>
      <c r="AU54" s="463">
        <f>W55</f>
        <v>65000</v>
      </c>
      <c r="AV54" s="468">
        <f t="shared" si="53"/>
        <v>0</v>
      </c>
      <c r="AW54" s="468">
        <f t="shared" si="50"/>
        <v>65000</v>
      </c>
      <c r="AX54" s="463"/>
      <c r="AY54" s="463"/>
      <c r="AZ54" s="463"/>
      <c r="BA54" s="463"/>
      <c r="BB54" s="463"/>
      <c r="BC54" s="437">
        <f>T54+U54+V54+-W54</f>
        <v>0</v>
      </c>
      <c r="BD54" s="437"/>
      <c r="BE54" s="209">
        <f t="shared" si="55"/>
        <v>0</v>
      </c>
      <c r="BF54" s="437">
        <f t="shared" si="51"/>
        <v>-100</v>
      </c>
      <c r="BG54" s="209">
        <f>W54</f>
        <v>65000</v>
      </c>
      <c r="BH54" s="209">
        <f>BG54-W54</f>
        <v>0</v>
      </c>
    </row>
    <row r="55" spans="1:60" ht="39" customHeight="1">
      <c r="A55" s="1621"/>
      <c r="B55" s="1622"/>
      <c r="C55" s="1622"/>
      <c r="D55" s="1383">
        <v>111</v>
      </c>
      <c r="E55" s="1383"/>
      <c r="F55" s="1805">
        <v>612110</v>
      </c>
      <c r="G55" s="1849" t="s">
        <v>217</v>
      </c>
      <c r="H55" s="1575">
        <v>55000</v>
      </c>
      <c r="I55" s="1575"/>
      <c r="J55" s="1575"/>
      <c r="K55" s="1374">
        <f>SUM(H55:J55)</f>
        <v>55000</v>
      </c>
      <c r="L55" s="1577">
        <v>65000</v>
      </c>
      <c r="M55" s="1301"/>
      <c r="N55" s="1302"/>
      <c r="O55" s="1375">
        <f>SUM(L55:N55)</f>
        <v>65000</v>
      </c>
      <c r="P55" s="1577"/>
      <c r="Q55" s="1301"/>
      <c r="R55" s="1302"/>
      <c r="S55" s="1375">
        <f>SUM(P55:R55)</f>
        <v>0</v>
      </c>
      <c r="T55" s="1577">
        <v>65000</v>
      </c>
      <c r="U55" s="1301"/>
      <c r="V55" s="1302"/>
      <c r="W55" s="1375">
        <f>SUM(T55:V55)</f>
        <v>65000</v>
      </c>
      <c r="X55" s="1578">
        <f t="shared" si="13"/>
        <v>100</v>
      </c>
      <c r="Y55" s="2457"/>
      <c r="Z55" s="1136"/>
      <c r="AA55" s="1136"/>
      <c r="AB55" s="1293">
        <f t="shared" si="0"/>
        <v>0</v>
      </c>
      <c r="AC55" s="1293">
        <f t="shared" si="4"/>
        <v>0</v>
      </c>
      <c r="AD55" s="1293">
        <f t="shared" si="10"/>
        <v>0</v>
      </c>
      <c r="AE55" s="1293">
        <f t="shared" si="1"/>
        <v>0</v>
      </c>
      <c r="AF55" s="1294"/>
      <c r="AG55" s="1294"/>
      <c r="AH55" s="1294">
        <f t="shared" si="2"/>
        <v>0</v>
      </c>
      <c r="AI55" s="1294">
        <f t="shared" si="48"/>
        <v>0</v>
      </c>
      <c r="AJ55" s="1293">
        <f t="shared" si="11"/>
        <v>0</v>
      </c>
      <c r="AK55" s="1294"/>
      <c r="AL55" s="1294"/>
      <c r="AM55" s="1294"/>
      <c r="AN55" s="1294"/>
      <c r="AO55" s="1294"/>
      <c r="AP55" s="1294"/>
      <c r="AQ55" s="1294">
        <f t="shared" si="59"/>
        <v>0</v>
      </c>
      <c r="AR55" s="1294">
        <f t="shared" si="43"/>
        <v>0</v>
      </c>
      <c r="AS55" s="1136"/>
      <c r="AT55" s="668">
        <f t="shared" si="49"/>
        <v>0</v>
      </c>
      <c r="AU55" s="463"/>
      <c r="AV55" s="468">
        <f t="shared" si="53"/>
        <v>0</v>
      </c>
      <c r="AW55" s="468">
        <f t="shared" si="50"/>
        <v>65000</v>
      </c>
      <c r="AX55" s="463"/>
      <c r="AY55" s="463"/>
      <c r="AZ55" s="463"/>
      <c r="BA55" s="463"/>
      <c r="BB55" s="463"/>
      <c r="BC55" s="437">
        <f>T55+U55+V55+-W55</f>
        <v>0</v>
      </c>
      <c r="BD55" s="437"/>
      <c r="BE55" s="209">
        <f t="shared" si="55"/>
        <v>0</v>
      </c>
      <c r="BF55" s="437">
        <f t="shared" si="51"/>
        <v>-100</v>
      </c>
    </row>
    <row r="56" spans="1:60" ht="39" customHeight="1">
      <c r="A56" s="1624"/>
      <c r="B56" s="1625"/>
      <c r="C56" s="1625"/>
      <c r="D56" s="1383">
        <v>111</v>
      </c>
      <c r="E56" s="1383"/>
      <c r="F56" s="1807">
        <v>613000</v>
      </c>
      <c r="G56" s="1844" t="s">
        <v>169</v>
      </c>
      <c r="H56" s="1380">
        <f t="shared" ref="H56:O56" si="65">SUM(H57:H60)</f>
        <v>346090</v>
      </c>
      <c r="I56" s="1380">
        <f t="shared" si="65"/>
        <v>0</v>
      </c>
      <c r="J56" s="1380">
        <f t="shared" si="65"/>
        <v>0</v>
      </c>
      <c r="K56" s="1381">
        <f t="shared" si="65"/>
        <v>346090</v>
      </c>
      <c r="L56" s="1601">
        <f t="shared" si="65"/>
        <v>314000</v>
      </c>
      <c r="M56" s="1303">
        <f t="shared" si="65"/>
        <v>0</v>
      </c>
      <c r="N56" s="1304">
        <f t="shared" si="65"/>
        <v>0</v>
      </c>
      <c r="O56" s="1336">
        <f t="shared" si="65"/>
        <v>314000</v>
      </c>
      <c r="P56" s="1601">
        <f>SUM(P57:P60)</f>
        <v>244000</v>
      </c>
      <c r="Q56" s="1303"/>
      <c r="R56" s="1304"/>
      <c r="S56" s="1336">
        <f>SUM(S57:S60)</f>
        <v>244000</v>
      </c>
      <c r="T56" s="1601">
        <f>SUM(T57:T60)</f>
        <v>239000</v>
      </c>
      <c r="U56" s="1303"/>
      <c r="V56" s="1304"/>
      <c r="W56" s="1316">
        <f>SUM(W57:W60)</f>
        <v>239000</v>
      </c>
      <c r="X56" s="1578">
        <f t="shared" si="13"/>
        <v>76.114649681528661</v>
      </c>
      <c r="Y56" s="2457"/>
      <c r="Z56" s="1136"/>
      <c r="AA56" s="1136">
        <f>'[9]PRIH REBALANS'!$AK$376</f>
        <v>239000</v>
      </c>
      <c r="AB56" s="1293">
        <f t="shared" si="0"/>
        <v>0</v>
      </c>
      <c r="AC56" s="1293">
        <f t="shared" si="4"/>
        <v>0</v>
      </c>
      <c r="AD56" s="1293">
        <f t="shared" si="10"/>
        <v>-75000</v>
      </c>
      <c r="AE56" s="1293">
        <f t="shared" si="1"/>
        <v>0</v>
      </c>
      <c r="AF56" s="1294"/>
      <c r="AG56" s="1294"/>
      <c r="AH56" s="1294">
        <f t="shared" si="2"/>
        <v>-75000</v>
      </c>
      <c r="AI56" s="1294">
        <f t="shared" si="48"/>
        <v>0</v>
      </c>
      <c r="AJ56" s="1293">
        <f t="shared" si="11"/>
        <v>0</v>
      </c>
      <c r="AK56" s="1294"/>
      <c r="AL56" s="1294"/>
      <c r="AM56" s="1294"/>
      <c r="AN56" s="1294"/>
      <c r="AO56" s="1294"/>
      <c r="AP56" s="1294"/>
      <c r="AQ56" s="1294">
        <f t="shared" si="59"/>
        <v>-75000</v>
      </c>
      <c r="AR56" s="1294">
        <f t="shared" si="43"/>
        <v>0</v>
      </c>
      <c r="AS56" s="1136">
        <f>SUM(W57:W60)</f>
        <v>239000</v>
      </c>
      <c r="AT56" s="668">
        <f t="shared" si="49"/>
        <v>0</v>
      </c>
      <c r="AU56" s="463">
        <f>SUM(W57:W60)</f>
        <v>239000</v>
      </c>
      <c r="AV56" s="468">
        <f t="shared" si="53"/>
        <v>0</v>
      </c>
      <c r="AW56" s="468">
        <f t="shared" si="50"/>
        <v>239000</v>
      </c>
      <c r="AX56" s="44"/>
      <c r="AY56" s="44"/>
      <c r="AZ56" s="44"/>
      <c r="BA56" s="44"/>
      <c r="BB56" s="44"/>
      <c r="BC56" s="360">
        <f>'[2]PRIH REBALANS'!$AK$395</f>
        <v>314000</v>
      </c>
      <c r="BD56" s="437">
        <f t="shared" ref="BD56:BD70" si="66">BC56-T56</f>
        <v>75000</v>
      </c>
      <c r="BE56" s="209">
        <f t="shared" si="55"/>
        <v>0</v>
      </c>
      <c r="BF56" s="437">
        <f t="shared" si="51"/>
        <v>-76.114649681528661</v>
      </c>
      <c r="BG56" s="209">
        <f>SUM(W57:W60)</f>
        <v>239000</v>
      </c>
      <c r="BH56" s="209">
        <f>BG56-W56</f>
        <v>0</v>
      </c>
    </row>
    <row r="57" spans="1:60" ht="39" customHeight="1">
      <c r="A57" s="1624"/>
      <c r="B57" s="1625"/>
      <c r="C57" s="1625"/>
      <c r="D57" s="1383">
        <v>111</v>
      </c>
      <c r="E57" s="1626"/>
      <c r="F57" s="1806">
        <v>613100</v>
      </c>
      <c r="G57" s="1845" t="s">
        <v>170</v>
      </c>
      <c r="H57" s="1608">
        <v>15000</v>
      </c>
      <c r="I57" s="1575"/>
      <c r="J57" s="1575"/>
      <c r="K57" s="1374">
        <f>SUM(H57:J57)</f>
        <v>15000</v>
      </c>
      <c r="L57" s="1627">
        <v>20000</v>
      </c>
      <c r="M57" s="1301"/>
      <c r="N57" s="1302"/>
      <c r="O57" s="1375">
        <f>SUM(L57:N57)</f>
        <v>20000</v>
      </c>
      <c r="P57" s="1627">
        <v>20000</v>
      </c>
      <c r="Q57" s="1301"/>
      <c r="R57" s="1302"/>
      <c r="S57" s="1375">
        <f>SUM(P57:R57)</f>
        <v>20000</v>
      </c>
      <c r="T57" s="1627">
        <v>20000</v>
      </c>
      <c r="U57" s="1301"/>
      <c r="V57" s="1302"/>
      <c r="W57" s="1375">
        <f>SUM(T57:V57)</f>
        <v>20000</v>
      </c>
      <c r="X57" s="1578">
        <f t="shared" si="13"/>
        <v>100</v>
      </c>
      <c r="Y57" s="2457"/>
      <c r="Z57" s="1136"/>
      <c r="AA57" s="1136"/>
      <c r="AB57" s="1293">
        <f t="shared" si="0"/>
        <v>0</v>
      </c>
      <c r="AC57" s="1293">
        <f t="shared" si="4"/>
        <v>0</v>
      </c>
      <c r="AD57" s="1293">
        <f t="shared" si="10"/>
        <v>0</v>
      </c>
      <c r="AE57" s="1293">
        <f t="shared" si="1"/>
        <v>0</v>
      </c>
      <c r="AF57" s="1294"/>
      <c r="AG57" s="1294"/>
      <c r="AH57" s="1294">
        <f t="shared" si="2"/>
        <v>0</v>
      </c>
      <c r="AI57" s="1294">
        <f t="shared" si="48"/>
        <v>0</v>
      </c>
      <c r="AJ57" s="1293">
        <f t="shared" si="11"/>
        <v>0</v>
      </c>
      <c r="AK57" s="1294"/>
      <c r="AL57" s="1294"/>
      <c r="AM57" s="1294"/>
      <c r="AN57" s="1294"/>
      <c r="AO57" s="1294"/>
      <c r="AP57" s="1294"/>
      <c r="AQ57" s="1294">
        <f t="shared" si="59"/>
        <v>0</v>
      </c>
      <c r="AR57" s="1294">
        <f t="shared" si="43"/>
        <v>0</v>
      </c>
      <c r="AS57" s="1136"/>
      <c r="AT57" s="668">
        <f t="shared" si="49"/>
        <v>0</v>
      </c>
      <c r="AU57" s="463"/>
      <c r="AV57" s="468">
        <f t="shared" si="53"/>
        <v>0</v>
      </c>
      <c r="AW57" s="468">
        <f t="shared" si="50"/>
        <v>20000</v>
      </c>
      <c r="AX57" s="44"/>
      <c r="AY57" s="44"/>
      <c r="AZ57" s="44"/>
      <c r="BA57" s="44"/>
      <c r="BB57" s="44"/>
      <c r="BC57" s="578">
        <v>20000</v>
      </c>
      <c r="BD57" s="437">
        <f t="shared" si="66"/>
        <v>0</v>
      </c>
      <c r="BE57" s="209">
        <f t="shared" si="55"/>
        <v>0</v>
      </c>
      <c r="BF57" s="437">
        <f t="shared" si="51"/>
        <v>-100</v>
      </c>
    </row>
    <row r="58" spans="1:60" ht="39" customHeight="1">
      <c r="A58" s="1621"/>
      <c r="B58" s="1622"/>
      <c r="C58" s="1622"/>
      <c r="D58" s="1383">
        <v>111</v>
      </c>
      <c r="E58" s="1626"/>
      <c r="F58" s="1806">
        <v>613400</v>
      </c>
      <c r="G58" s="1845" t="s">
        <v>246</v>
      </c>
      <c r="H58" s="1608">
        <v>12000</v>
      </c>
      <c r="I58" s="1575"/>
      <c r="J58" s="1575"/>
      <c r="K58" s="1374">
        <f>SUM(H58:J58)</f>
        <v>12000</v>
      </c>
      <c r="L58" s="1627">
        <v>10000</v>
      </c>
      <c r="M58" s="1301"/>
      <c r="N58" s="1302"/>
      <c r="O58" s="1375">
        <f t="shared" ref="O58:O59" si="67">SUM(L58:N58)</f>
        <v>10000</v>
      </c>
      <c r="P58" s="1627">
        <v>12000</v>
      </c>
      <c r="Q58" s="1301"/>
      <c r="R58" s="1302"/>
      <c r="S58" s="1375">
        <f t="shared" ref="S58:S59" si="68">SUM(P58:R58)</f>
        <v>12000</v>
      </c>
      <c r="T58" s="1627">
        <v>10000</v>
      </c>
      <c r="U58" s="1301"/>
      <c r="V58" s="1302"/>
      <c r="W58" s="1375">
        <f t="shared" ref="W58:W59" si="69">SUM(T58:V58)</f>
        <v>10000</v>
      </c>
      <c r="X58" s="1578">
        <f t="shared" si="13"/>
        <v>100</v>
      </c>
      <c r="Y58" s="2457"/>
      <c r="Z58" s="1136"/>
      <c r="AA58" s="1136"/>
      <c r="AB58" s="1293">
        <f t="shared" si="0"/>
        <v>0</v>
      </c>
      <c r="AC58" s="1293">
        <f t="shared" si="4"/>
        <v>0</v>
      </c>
      <c r="AD58" s="1293">
        <f t="shared" si="10"/>
        <v>0</v>
      </c>
      <c r="AE58" s="1293">
        <f t="shared" si="1"/>
        <v>0</v>
      </c>
      <c r="AF58" s="1294"/>
      <c r="AG58" s="1294"/>
      <c r="AH58" s="1294">
        <f t="shared" si="2"/>
        <v>0</v>
      </c>
      <c r="AI58" s="1294">
        <f t="shared" si="48"/>
        <v>0</v>
      </c>
      <c r="AJ58" s="1293">
        <f t="shared" si="11"/>
        <v>0</v>
      </c>
      <c r="AK58" s="1294"/>
      <c r="AL58" s="1294"/>
      <c r="AM58" s="1294"/>
      <c r="AN58" s="1294"/>
      <c r="AO58" s="1294"/>
      <c r="AP58" s="1294"/>
      <c r="AQ58" s="1294">
        <f t="shared" si="59"/>
        <v>0</v>
      </c>
      <c r="AR58" s="1294">
        <f t="shared" si="43"/>
        <v>0</v>
      </c>
      <c r="AS58" s="1136"/>
      <c r="AT58" s="668">
        <f t="shared" si="49"/>
        <v>0</v>
      </c>
      <c r="AU58" s="463"/>
      <c r="AV58" s="468">
        <f t="shared" si="53"/>
        <v>0</v>
      </c>
      <c r="AW58" s="468">
        <f t="shared" si="50"/>
        <v>10000</v>
      </c>
      <c r="AX58" s="44"/>
      <c r="AY58" s="44"/>
      <c r="AZ58" s="44"/>
      <c r="BA58" s="44"/>
      <c r="BB58" s="44"/>
      <c r="BC58" s="578">
        <v>10000</v>
      </c>
      <c r="BD58" s="437">
        <f t="shared" si="66"/>
        <v>0</v>
      </c>
      <c r="BE58" s="209">
        <f t="shared" si="55"/>
        <v>0</v>
      </c>
      <c r="BF58" s="437">
        <f t="shared" si="51"/>
        <v>-100</v>
      </c>
    </row>
    <row r="59" spans="1:60" ht="39" customHeight="1">
      <c r="A59" s="1621"/>
      <c r="B59" s="1622"/>
      <c r="C59" s="1622"/>
      <c r="D59" s="1383">
        <v>111</v>
      </c>
      <c r="E59" s="1626"/>
      <c r="F59" s="1805">
        <v>613500</v>
      </c>
      <c r="G59" s="1845" t="s">
        <v>247</v>
      </c>
      <c r="H59" s="1608">
        <v>12000</v>
      </c>
      <c r="I59" s="1575"/>
      <c r="J59" s="1575"/>
      <c r="K59" s="1374">
        <f>SUM(H59:J59)</f>
        <v>12000</v>
      </c>
      <c r="L59" s="1627">
        <v>12000</v>
      </c>
      <c r="M59" s="1301"/>
      <c r="N59" s="1302"/>
      <c r="O59" s="1375">
        <f t="shared" si="67"/>
        <v>12000</v>
      </c>
      <c r="P59" s="1627">
        <v>15000</v>
      </c>
      <c r="Q59" s="1301"/>
      <c r="R59" s="1302"/>
      <c r="S59" s="1375">
        <f t="shared" si="68"/>
        <v>15000</v>
      </c>
      <c r="T59" s="1627">
        <v>12000</v>
      </c>
      <c r="U59" s="1301"/>
      <c r="V59" s="1302"/>
      <c r="W59" s="1375">
        <f t="shared" si="69"/>
        <v>12000</v>
      </c>
      <c r="X59" s="1578">
        <f t="shared" si="13"/>
        <v>100</v>
      </c>
      <c r="Y59" s="2457"/>
      <c r="Z59" s="1136"/>
      <c r="AA59" s="1136"/>
      <c r="AB59" s="1293">
        <f t="shared" si="0"/>
        <v>0</v>
      </c>
      <c r="AC59" s="1293">
        <f t="shared" si="4"/>
        <v>0</v>
      </c>
      <c r="AD59" s="1293">
        <f t="shared" si="10"/>
        <v>0</v>
      </c>
      <c r="AE59" s="1293">
        <f t="shared" si="1"/>
        <v>0</v>
      </c>
      <c r="AF59" s="1294"/>
      <c r="AG59" s="1294"/>
      <c r="AH59" s="1294">
        <f t="shared" si="2"/>
        <v>0</v>
      </c>
      <c r="AI59" s="1294">
        <f t="shared" si="48"/>
        <v>0</v>
      </c>
      <c r="AJ59" s="1293">
        <f t="shared" si="11"/>
        <v>0</v>
      </c>
      <c r="AK59" s="1294"/>
      <c r="AL59" s="1294"/>
      <c r="AM59" s="1294"/>
      <c r="AN59" s="1294"/>
      <c r="AO59" s="1294"/>
      <c r="AP59" s="1294"/>
      <c r="AQ59" s="1294">
        <f t="shared" si="59"/>
        <v>0</v>
      </c>
      <c r="AR59" s="1294">
        <f t="shared" si="43"/>
        <v>0</v>
      </c>
      <c r="AS59" s="1136"/>
      <c r="AT59" s="668">
        <f t="shared" si="49"/>
        <v>0</v>
      </c>
      <c r="AU59" s="463"/>
      <c r="AV59" s="468">
        <f t="shared" si="53"/>
        <v>0</v>
      </c>
      <c r="AW59" s="468">
        <f t="shared" si="50"/>
        <v>12000</v>
      </c>
      <c r="AX59" s="44"/>
      <c r="AY59" s="44"/>
      <c r="AZ59" s="44"/>
      <c r="BA59" s="44"/>
      <c r="BB59" s="44"/>
      <c r="BC59" s="578">
        <v>12000</v>
      </c>
      <c r="BD59" s="437">
        <f t="shared" si="66"/>
        <v>0</v>
      </c>
      <c r="BE59" s="209">
        <f t="shared" si="55"/>
        <v>0</v>
      </c>
      <c r="BF59" s="437">
        <f t="shared" si="51"/>
        <v>-100</v>
      </c>
    </row>
    <row r="60" spans="1:60" ht="39" customHeight="1">
      <c r="A60" s="1628"/>
      <c r="B60" s="1629"/>
      <c r="C60" s="1629"/>
      <c r="D60" s="1383">
        <v>111</v>
      </c>
      <c r="E60" s="1383" t="s">
        <v>206</v>
      </c>
      <c r="F60" s="1807">
        <v>613900</v>
      </c>
      <c r="G60" s="1844" t="s">
        <v>180</v>
      </c>
      <c r="H60" s="1380">
        <f>SUM(H61:H71)</f>
        <v>307090</v>
      </c>
      <c r="I60" s="1380">
        <f>SUM(I61:I70)</f>
        <v>0</v>
      </c>
      <c r="J60" s="1380">
        <f>SUM(J61:J70)</f>
        <v>0</v>
      </c>
      <c r="K60" s="1630">
        <f>SUM(K61:K71)</f>
        <v>307090</v>
      </c>
      <c r="L60" s="1601">
        <f>SUM(L61:L71)</f>
        <v>272000</v>
      </c>
      <c r="M60" s="1303">
        <f>SUM(M61:M70)</f>
        <v>0</v>
      </c>
      <c r="N60" s="1304">
        <f>SUM(N61:N70)</f>
        <v>0</v>
      </c>
      <c r="O60" s="1474">
        <f>SUM(O61:O71)</f>
        <v>272000</v>
      </c>
      <c r="P60" s="1601">
        <f>SUM(P61:P71)</f>
        <v>197000</v>
      </c>
      <c r="Q60" s="1303"/>
      <c r="R60" s="1304"/>
      <c r="S60" s="1474">
        <f>SUM(S61:S71)</f>
        <v>197000</v>
      </c>
      <c r="T60" s="1601">
        <f>SUM(T61:T71)</f>
        <v>197000</v>
      </c>
      <c r="U60" s="1303"/>
      <c r="V60" s="1304"/>
      <c r="W60" s="1317">
        <f>SUM(W61:W71)</f>
        <v>197000</v>
      </c>
      <c r="X60" s="1578">
        <f t="shared" si="13"/>
        <v>72.42647058823529</v>
      </c>
      <c r="Y60" s="2457">
        <f>'[1]PRIH REBALANS'!$AK$380</f>
        <v>197000</v>
      </c>
      <c r="Z60" s="1136"/>
      <c r="AA60" s="1136">
        <f>'[9]PRIH REBALANS'!$AK$380</f>
        <v>197000</v>
      </c>
      <c r="AB60" s="1293">
        <f t="shared" si="0"/>
        <v>0</v>
      </c>
      <c r="AC60" s="1293">
        <f t="shared" si="4"/>
        <v>0</v>
      </c>
      <c r="AD60" s="1293">
        <f t="shared" si="10"/>
        <v>-75000</v>
      </c>
      <c r="AE60" s="1293">
        <f t="shared" si="1"/>
        <v>0</v>
      </c>
      <c r="AF60" s="1294"/>
      <c r="AG60" s="1294"/>
      <c r="AH60" s="1294">
        <f t="shared" si="2"/>
        <v>-75000</v>
      </c>
      <c r="AI60" s="1294">
        <f t="shared" si="48"/>
        <v>0</v>
      </c>
      <c r="AJ60" s="1293">
        <f t="shared" si="11"/>
        <v>0</v>
      </c>
      <c r="AK60" s="1294"/>
      <c r="AL60" s="1294"/>
      <c r="AM60" s="1294"/>
      <c r="AN60" s="1294"/>
      <c r="AO60" s="1294"/>
      <c r="AP60" s="1294"/>
      <c r="AQ60" s="1294">
        <f t="shared" si="59"/>
        <v>-75000</v>
      </c>
      <c r="AR60" s="1294">
        <f t="shared" si="43"/>
        <v>0</v>
      </c>
      <c r="AS60" s="1136">
        <f>SUM(W61:W70)</f>
        <v>182000</v>
      </c>
      <c r="AT60" s="668">
        <f t="shared" si="49"/>
        <v>0</v>
      </c>
      <c r="AU60" s="463">
        <f>SUM(W61:W70)</f>
        <v>182000</v>
      </c>
      <c r="AV60" s="468">
        <f t="shared" si="53"/>
        <v>0</v>
      </c>
      <c r="AW60" s="468">
        <f t="shared" si="50"/>
        <v>197000</v>
      </c>
      <c r="AX60" s="44"/>
      <c r="AY60" s="44"/>
      <c r="AZ60" s="44"/>
      <c r="BA60" s="44"/>
      <c r="BB60" s="44"/>
      <c r="BC60" s="360">
        <f>'[2]PRIH REBALANS'!$AK$399</f>
        <v>272000</v>
      </c>
      <c r="BD60" s="437">
        <f t="shared" si="66"/>
        <v>75000</v>
      </c>
      <c r="BE60" s="209">
        <f t="shared" si="55"/>
        <v>0</v>
      </c>
      <c r="BF60" s="437">
        <f t="shared" si="51"/>
        <v>-72.42647058823529</v>
      </c>
      <c r="BG60" s="209">
        <f>SUM(W61:W70)</f>
        <v>182000</v>
      </c>
      <c r="BH60" s="209">
        <f>BG60-W60</f>
        <v>-15000</v>
      </c>
    </row>
    <row r="61" spans="1:60" ht="39" customHeight="1">
      <c r="A61" s="1621"/>
      <c r="B61" s="1622"/>
      <c r="C61" s="1622"/>
      <c r="D61" s="1383">
        <v>111</v>
      </c>
      <c r="E61" s="1607"/>
      <c r="F61" s="1797">
        <v>613911</v>
      </c>
      <c r="G61" s="1837" t="s">
        <v>223</v>
      </c>
      <c r="H61" s="1575">
        <v>4500</v>
      </c>
      <c r="I61" s="1575"/>
      <c r="J61" s="1575"/>
      <c r="K61" s="1374">
        <f>SUM(H61:J61)</f>
        <v>4500</v>
      </c>
      <c r="L61" s="1577">
        <v>4000</v>
      </c>
      <c r="M61" s="1301"/>
      <c r="N61" s="1302"/>
      <c r="O61" s="1375">
        <f>SUM(L61:N61)</f>
        <v>4000</v>
      </c>
      <c r="P61" s="1577">
        <v>4000</v>
      </c>
      <c r="Q61" s="1301"/>
      <c r="R61" s="1302"/>
      <c r="S61" s="1375">
        <f>SUM(P61:R61)</f>
        <v>4000</v>
      </c>
      <c r="T61" s="1577">
        <v>4000</v>
      </c>
      <c r="U61" s="1301"/>
      <c r="V61" s="1302"/>
      <c r="W61" s="1375">
        <f>SUM(T61:V61)</f>
        <v>4000</v>
      </c>
      <c r="X61" s="1578">
        <f t="shared" si="13"/>
        <v>100</v>
      </c>
      <c r="Y61" s="2457"/>
      <c r="Z61" s="1136"/>
      <c r="AA61" s="1136"/>
      <c r="AB61" s="1293">
        <f t="shared" si="0"/>
        <v>0</v>
      </c>
      <c r="AC61" s="1293">
        <f t="shared" si="4"/>
        <v>0</v>
      </c>
      <c r="AD61" s="1293">
        <f t="shared" si="10"/>
        <v>0</v>
      </c>
      <c r="AE61" s="1293">
        <f t="shared" si="1"/>
        <v>0</v>
      </c>
      <c r="AF61" s="1294"/>
      <c r="AG61" s="1294"/>
      <c r="AH61" s="1294">
        <f t="shared" si="2"/>
        <v>0</v>
      </c>
      <c r="AI61" s="1294">
        <f t="shared" si="48"/>
        <v>0</v>
      </c>
      <c r="AJ61" s="1293">
        <f t="shared" si="11"/>
        <v>0</v>
      </c>
      <c r="AK61" s="1294"/>
      <c r="AL61" s="1294"/>
      <c r="AM61" s="1294"/>
      <c r="AN61" s="1294"/>
      <c r="AO61" s="1294"/>
      <c r="AP61" s="1294"/>
      <c r="AQ61" s="1294">
        <f t="shared" si="59"/>
        <v>0</v>
      </c>
      <c r="AR61" s="1294">
        <f t="shared" si="43"/>
        <v>0</v>
      </c>
      <c r="AS61" s="1136"/>
      <c r="AT61" s="668">
        <f t="shared" si="49"/>
        <v>0</v>
      </c>
      <c r="AU61" s="463"/>
      <c r="AV61" s="468">
        <f t="shared" si="53"/>
        <v>0</v>
      </c>
      <c r="AW61" s="468">
        <f t="shared" si="50"/>
        <v>4000</v>
      </c>
      <c r="AX61" s="44"/>
      <c r="AY61" s="44"/>
      <c r="AZ61" s="44"/>
      <c r="BA61" s="44"/>
      <c r="BB61" s="44"/>
      <c r="BC61" s="434">
        <f>'[2]PRIH REBALANS'!$AG$400</f>
        <v>4000</v>
      </c>
      <c r="BD61" s="437">
        <f t="shared" si="66"/>
        <v>0</v>
      </c>
      <c r="BE61" s="209">
        <f t="shared" si="55"/>
        <v>0</v>
      </c>
      <c r="BF61" s="437">
        <f t="shared" si="51"/>
        <v>-100</v>
      </c>
    </row>
    <row r="62" spans="1:60" ht="39" customHeight="1">
      <c r="A62" s="1621"/>
      <c r="B62" s="1622"/>
      <c r="C62" s="1622"/>
      <c r="D62" s="1383">
        <v>111</v>
      </c>
      <c r="E62" s="1607"/>
      <c r="F62" s="1797">
        <v>613914</v>
      </c>
      <c r="G62" s="1837" t="s">
        <v>224</v>
      </c>
      <c r="H62" s="1575">
        <v>35000</v>
      </c>
      <c r="I62" s="1575"/>
      <c r="J62" s="1575"/>
      <c r="K62" s="1374">
        <f>SUM(H62:J62)</f>
        <v>35000</v>
      </c>
      <c r="L62" s="1577">
        <v>35000</v>
      </c>
      <c r="M62" s="1301"/>
      <c r="N62" s="1302"/>
      <c r="O62" s="1375">
        <f t="shared" ref="O62:O71" si="70">SUM(L62:N62)</f>
        <v>35000</v>
      </c>
      <c r="P62" s="1577">
        <v>35000</v>
      </c>
      <c r="Q62" s="1301"/>
      <c r="R62" s="1302"/>
      <c r="S62" s="1375">
        <f t="shared" ref="S62:S71" si="71">SUM(P62:R62)</f>
        <v>35000</v>
      </c>
      <c r="T62" s="1577">
        <v>35000</v>
      </c>
      <c r="U62" s="1301"/>
      <c r="V62" s="1302"/>
      <c r="W62" s="1375">
        <f t="shared" ref="W62:W71" si="72">SUM(T62:V62)</f>
        <v>35000</v>
      </c>
      <c r="X62" s="1578">
        <f t="shared" si="13"/>
        <v>100</v>
      </c>
      <c r="Y62" s="2457"/>
      <c r="Z62" s="1136"/>
      <c r="AA62" s="1136"/>
      <c r="AB62" s="1293">
        <f t="shared" si="0"/>
        <v>0</v>
      </c>
      <c r="AC62" s="1293">
        <f t="shared" si="4"/>
        <v>0</v>
      </c>
      <c r="AD62" s="1293">
        <f t="shared" si="10"/>
        <v>0</v>
      </c>
      <c r="AE62" s="1293">
        <f t="shared" si="1"/>
        <v>0</v>
      </c>
      <c r="AF62" s="1294"/>
      <c r="AG62" s="1294"/>
      <c r="AH62" s="1294">
        <f t="shared" si="2"/>
        <v>0</v>
      </c>
      <c r="AI62" s="1294">
        <f t="shared" si="48"/>
        <v>0</v>
      </c>
      <c r="AJ62" s="1293">
        <f t="shared" si="11"/>
        <v>0</v>
      </c>
      <c r="AK62" s="1294"/>
      <c r="AL62" s="1294"/>
      <c r="AM62" s="1294"/>
      <c r="AN62" s="1294"/>
      <c r="AO62" s="1294"/>
      <c r="AP62" s="1294"/>
      <c r="AQ62" s="1294">
        <f t="shared" si="59"/>
        <v>0</v>
      </c>
      <c r="AR62" s="1294">
        <f t="shared" si="43"/>
        <v>0</v>
      </c>
      <c r="AS62" s="1136"/>
      <c r="AT62" s="668">
        <f t="shared" si="49"/>
        <v>0</v>
      </c>
      <c r="AU62" s="463"/>
      <c r="AV62" s="468">
        <f t="shared" si="53"/>
        <v>0</v>
      </c>
      <c r="AW62" s="468">
        <f t="shared" si="50"/>
        <v>35000</v>
      </c>
      <c r="AX62" s="44"/>
      <c r="AY62" s="44"/>
      <c r="AZ62" s="44"/>
      <c r="BA62" s="44"/>
      <c r="BB62" s="44"/>
      <c r="BC62" s="434">
        <f>'[2]PRIH REBALANS'!$AG$401</f>
        <v>35000</v>
      </c>
      <c r="BD62" s="437">
        <f t="shared" si="66"/>
        <v>0</v>
      </c>
      <c r="BE62" s="209">
        <f t="shared" si="55"/>
        <v>0</v>
      </c>
      <c r="BF62" s="437">
        <f t="shared" si="51"/>
        <v>-100</v>
      </c>
    </row>
    <row r="63" spans="1:60" ht="39" customHeight="1">
      <c r="A63" s="1621"/>
      <c r="B63" s="1622"/>
      <c r="C63" s="1622"/>
      <c r="D63" s="1383">
        <v>111</v>
      </c>
      <c r="E63" s="1607"/>
      <c r="F63" s="1797">
        <v>613920</v>
      </c>
      <c r="G63" s="1837" t="s">
        <v>568</v>
      </c>
      <c r="H63" s="1575">
        <v>1000</v>
      </c>
      <c r="I63" s="1575"/>
      <c r="J63" s="1575"/>
      <c r="K63" s="1374">
        <f>SUM(H63:J63)</f>
        <v>1000</v>
      </c>
      <c r="L63" s="1577">
        <v>1000</v>
      </c>
      <c r="M63" s="1301"/>
      <c r="N63" s="1302"/>
      <c r="O63" s="1375">
        <f t="shared" si="70"/>
        <v>1000</v>
      </c>
      <c r="P63" s="1577">
        <v>1000</v>
      </c>
      <c r="Q63" s="1301"/>
      <c r="R63" s="1302"/>
      <c r="S63" s="1375">
        <f t="shared" si="71"/>
        <v>1000</v>
      </c>
      <c r="T63" s="1577">
        <v>1000</v>
      </c>
      <c r="U63" s="1301"/>
      <c r="V63" s="1302"/>
      <c r="W63" s="1375">
        <f t="shared" si="72"/>
        <v>1000</v>
      </c>
      <c r="X63" s="1578">
        <f t="shared" si="13"/>
        <v>100</v>
      </c>
      <c r="Y63" s="2457"/>
      <c r="Z63" s="1136"/>
      <c r="AA63" s="1136"/>
      <c r="AB63" s="1293">
        <f t="shared" si="0"/>
        <v>0</v>
      </c>
      <c r="AC63" s="1293">
        <f t="shared" si="4"/>
        <v>0</v>
      </c>
      <c r="AD63" s="1293">
        <f t="shared" si="10"/>
        <v>0</v>
      </c>
      <c r="AE63" s="1293">
        <f t="shared" si="1"/>
        <v>0</v>
      </c>
      <c r="AF63" s="1294"/>
      <c r="AG63" s="1294"/>
      <c r="AH63" s="1294">
        <f t="shared" si="2"/>
        <v>0</v>
      </c>
      <c r="AI63" s="1294">
        <f t="shared" si="48"/>
        <v>0</v>
      </c>
      <c r="AJ63" s="1293">
        <f t="shared" si="11"/>
        <v>0</v>
      </c>
      <c r="AK63" s="1294"/>
      <c r="AL63" s="1294"/>
      <c r="AM63" s="1294"/>
      <c r="AN63" s="1294"/>
      <c r="AO63" s="1294"/>
      <c r="AP63" s="1294"/>
      <c r="AQ63" s="1294">
        <f t="shared" si="59"/>
        <v>0</v>
      </c>
      <c r="AR63" s="1294">
        <f t="shared" si="43"/>
        <v>0</v>
      </c>
      <c r="AS63" s="1136"/>
      <c r="AT63" s="668">
        <f t="shared" si="49"/>
        <v>0</v>
      </c>
      <c r="AU63" s="463"/>
      <c r="AV63" s="468">
        <f t="shared" si="53"/>
        <v>0</v>
      </c>
      <c r="AW63" s="468">
        <f t="shared" si="50"/>
        <v>1000</v>
      </c>
      <c r="AX63" s="44"/>
      <c r="AY63" s="44"/>
      <c r="AZ63" s="44"/>
      <c r="BA63" s="44"/>
      <c r="BB63" s="44"/>
      <c r="BC63" s="434">
        <v>1000</v>
      </c>
      <c r="BD63" s="437">
        <f t="shared" si="66"/>
        <v>0</v>
      </c>
      <c r="BE63" s="209">
        <f t="shared" si="55"/>
        <v>0</v>
      </c>
      <c r="BF63" s="437">
        <f t="shared" si="51"/>
        <v>-100</v>
      </c>
    </row>
    <row r="64" spans="1:60" ht="39" customHeight="1">
      <c r="A64" s="1621"/>
      <c r="B64" s="1622"/>
      <c r="C64" s="1622"/>
      <c r="D64" s="1383">
        <v>111</v>
      </c>
      <c r="E64" s="1607"/>
      <c r="F64" s="1797">
        <v>613970</v>
      </c>
      <c r="G64" s="1837" t="s">
        <v>249</v>
      </c>
      <c r="H64" s="1575">
        <v>160000</v>
      </c>
      <c r="I64" s="1575"/>
      <c r="J64" s="1575"/>
      <c r="K64" s="1374">
        <f t="shared" ref="K64:K71" si="73">SUM(H64:J64)</f>
        <v>160000</v>
      </c>
      <c r="L64" s="1577">
        <v>115000</v>
      </c>
      <c r="M64" s="1301"/>
      <c r="N64" s="1302"/>
      <c r="O64" s="1375">
        <f t="shared" si="70"/>
        <v>115000</v>
      </c>
      <c r="P64" s="1577">
        <v>70000</v>
      </c>
      <c r="Q64" s="1301"/>
      <c r="R64" s="1302"/>
      <c r="S64" s="1375">
        <f t="shared" si="71"/>
        <v>70000</v>
      </c>
      <c r="T64" s="1577">
        <v>70000</v>
      </c>
      <c r="U64" s="1301"/>
      <c r="V64" s="1302"/>
      <c r="W64" s="1375">
        <f t="shared" si="72"/>
        <v>70000</v>
      </c>
      <c r="X64" s="1578">
        <f t="shared" si="13"/>
        <v>60.869565217391312</v>
      </c>
      <c r="Y64" s="2457"/>
      <c r="Z64" s="1136"/>
      <c r="AA64" s="1136"/>
      <c r="AB64" s="1293">
        <f t="shared" si="0"/>
        <v>0</v>
      </c>
      <c r="AC64" s="1293">
        <f t="shared" si="4"/>
        <v>0</v>
      </c>
      <c r="AD64" s="1293">
        <f t="shared" si="10"/>
        <v>-45000</v>
      </c>
      <c r="AE64" s="1293">
        <f t="shared" si="1"/>
        <v>0</v>
      </c>
      <c r="AF64" s="1294"/>
      <c r="AG64" s="1294"/>
      <c r="AH64" s="1294">
        <f t="shared" si="2"/>
        <v>-45000</v>
      </c>
      <c r="AI64" s="1294">
        <f t="shared" si="48"/>
        <v>0</v>
      </c>
      <c r="AJ64" s="1293">
        <f t="shared" si="11"/>
        <v>0</v>
      </c>
      <c r="AK64" s="1294"/>
      <c r="AL64" s="1294"/>
      <c r="AM64" s="1294"/>
      <c r="AN64" s="1294"/>
      <c r="AO64" s="1294"/>
      <c r="AP64" s="1294"/>
      <c r="AQ64" s="1294">
        <f t="shared" si="59"/>
        <v>-45000</v>
      </c>
      <c r="AR64" s="1294">
        <f t="shared" si="43"/>
        <v>0</v>
      </c>
      <c r="AS64" s="1136"/>
      <c r="AT64" s="668">
        <f t="shared" si="49"/>
        <v>0</v>
      </c>
      <c r="AU64" s="674" t="s">
        <v>1556</v>
      </c>
      <c r="AV64" s="468">
        <f t="shared" si="53"/>
        <v>0</v>
      </c>
      <c r="AW64" s="468">
        <f t="shared" si="50"/>
        <v>70000</v>
      </c>
      <c r="AX64" s="44"/>
      <c r="AY64" s="44"/>
      <c r="AZ64" s="44"/>
      <c r="BA64" s="44"/>
      <c r="BB64" s="44"/>
      <c r="BC64" s="434">
        <f>'[2]PRIH REBALANS'!$AG$403</f>
        <v>115000</v>
      </c>
      <c r="BD64" s="437">
        <f t="shared" si="66"/>
        <v>45000</v>
      </c>
      <c r="BE64" s="209">
        <f t="shared" si="55"/>
        <v>0</v>
      </c>
      <c r="BF64" s="437">
        <f t="shared" si="51"/>
        <v>-60.869565217391312</v>
      </c>
    </row>
    <row r="65" spans="1:60" ht="39" customHeight="1">
      <c r="A65" s="1621"/>
      <c r="B65" s="1622"/>
      <c r="C65" s="1622"/>
      <c r="D65" s="1383">
        <v>111</v>
      </c>
      <c r="E65" s="1607"/>
      <c r="F65" s="1797">
        <v>613981</v>
      </c>
      <c r="G65" s="1837" t="s">
        <v>671</v>
      </c>
      <c r="H65" s="1575">
        <v>34000</v>
      </c>
      <c r="I65" s="1575"/>
      <c r="J65" s="1575"/>
      <c r="K65" s="1374">
        <f t="shared" si="73"/>
        <v>34000</v>
      </c>
      <c r="L65" s="1631">
        <v>25000</v>
      </c>
      <c r="M65" s="1301"/>
      <c r="N65" s="1302"/>
      <c r="O65" s="1375">
        <f t="shared" si="70"/>
        <v>25000</v>
      </c>
      <c r="P65" s="1610">
        <v>15000</v>
      </c>
      <c r="Q65" s="1301"/>
      <c r="R65" s="1302"/>
      <c r="S65" s="1375">
        <f t="shared" si="71"/>
        <v>15000</v>
      </c>
      <c r="T65" s="1610">
        <v>15000</v>
      </c>
      <c r="U65" s="1301"/>
      <c r="V65" s="1302"/>
      <c r="W65" s="1375">
        <f t="shared" si="72"/>
        <v>15000</v>
      </c>
      <c r="X65" s="1578">
        <f t="shared" si="13"/>
        <v>60</v>
      </c>
      <c r="Y65" s="2457"/>
      <c r="Z65" s="1136"/>
      <c r="AA65" s="1136"/>
      <c r="AB65" s="1293">
        <f t="shared" si="0"/>
        <v>0</v>
      </c>
      <c r="AC65" s="1293">
        <f t="shared" si="4"/>
        <v>0</v>
      </c>
      <c r="AD65" s="1293">
        <f t="shared" si="10"/>
        <v>-10000</v>
      </c>
      <c r="AE65" s="1293">
        <f t="shared" si="1"/>
        <v>0</v>
      </c>
      <c r="AF65" s="1294"/>
      <c r="AG65" s="1294"/>
      <c r="AH65" s="1294">
        <f t="shared" si="2"/>
        <v>-10000</v>
      </c>
      <c r="AI65" s="1294">
        <f t="shared" si="48"/>
        <v>0</v>
      </c>
      <c r="AJ65" s="1293">
        <f t="shared" si="11"/>
        <v>0</v>
      </c>
      <c r="AK65" s="1294"/>
      <c r="AL65" s="1294"/>
      <c r="AM65" s="1294"/>
      <c r="AN65" s="1294"/>
      <c r="AO65" s="1294"/>
      <c r="AP65" s="1294"/>
      <c r="AQ65" s="1294">
        <f t="shared" si="59"/>
        <v>-10000</v>
      </c>
      <c r="AR65" s="1294">
        <f t="shared" si="43"/>
        <v>0</v>
      </c>
      <c r="AS65" s="1136"/>
      <c r="AT65" s="668">
        <f t="shared" si="49"/>
        <v>0</v>
      </c>
      <c r="AU65" s="463"/>
      <c r="AV65" s="468">
        <f t="shared" si="53"/>
        <v>0</v>
      </c>
      <c r="AW65" s="468">
        <f t="shared" si="50"/>
        <v>15000</v>
      </c>
      <c r="AX65" s="44"/>
      <c r="AY65" s="44"/>
      <c r="AZ65" s="44"/>
      <c r="BA65" s="44"/>
      <c r="BB65" s="44"/>
      <c r="BC65" s="665">
        <v>25000</v>
      </c>
      <c r="BD65" s="437">
        <f t="shared" si="66"/>
        <v>10000</v>
      </c>
      <c r="BE65" s="209">
        <f t="shared" si="55"/>
        <v>0</v>
      </c>
      <c r="BF65" s="437">
        <f t="shared" si="51"/>
        <v>-60</v>
      </c>
    </row>
    <row r="66" spans="1:60" ht="39" customHeight="1">
      <c r="A66" s="1621"/>
      <c r="B66" s="1622"/>
      <c r="C66" s="1622"/>
      <c r="D66" s="1383">
        <v>111</v>
      </c>
      <c r="E66" s="1373"/>
      <c r="F66" s="1796">
        <v>613983</v>
      </c>
      <c r="G66" s="1838" t="s">
        <v>704</v>
      </c>
      <c r="H66" s="1575">
        <v>1590</v>
      </c>
      <c r="I66" s="1575"/>
      <c r="J66" s="1575"/>
      <c r="K66" s="1374">
        <f t="shared" si="73"/>
        <v>1590</v>
      </c>
      <c r="L66" s="1577">
        <v>2000</v>
      </c>
      <c r="M66" s="1301"/>
      <c r="N66" s="1302"/>
      <c r="O66" s="1375">
        <f t="shared" si="70"/>
        <v>2000</v>
      </c>
      <c r="P66" s="1577">
        <v>2000</v>
      </c>
      <c r="Q66" s="1301"/>
      <c r="R66" s="1302"/>
      <c r="S66" s="1375">
        <f t="shared" si="71"/>
        <v>2000</v>
      </c>
      <c r="T66" s="1577">
        <v>2000</v>
      </c>
      <c r="U66" s="1301"/>
      <c r="V66" s="1302"/>
      <c r="W66" s="1375">
        <f t="shared" si="72"/>
        <v>2000</v>
      </c>
      <c r="X66" s="1578">
        <f t="shared" si="13"/>
        <v>100</v>
      </c>
      <c r="Y66" s="2457"/>
      <c r="Z66" s="1136"/>
      <c r="AA66" s="1136"/>
      <c r="AB66" s="1293">
        <f t="shared" si="0"/>
        <v>0</v>
      </c>
      <c r="AC66" s="1293">
        <f t="shared" si="4"/>
        <v>0</v>
      </c>
      <c r="AD66" s="1293">
        <f t="shared" si="10"/>
        <v>0</v>
      </c>
      <c r="AE66" s="1293">
        <f t="shared" si="1"/>
        <v>0</v>
      </c>
      <c r="AF66" s="1294"/>
      <c r="AG66" s="1294"/>
      <c r="AH66" s="1294">
        <f t="shared" si="2"/>
        <v>0</v>
      </c>
      <c r="AI66" s="1294">
        <f t="shared" si="48"/>
        <v>0</v>
      </c>
      <c r="AJ66" s="1293">
        <f t="shared" si="11"/>
        <v>0</v>
      </c>
      <c r="AK66" s="1294"/>
      <c r="AL66" s="1294"/>
      <c r="AM66" s="1294"/>
      <c r="AN66" s="1294"/>
      <c r="AO66" s="1294"/>
      <c r="AP66" s="1294"/>
      <c r="AQ66" s="1294">
        <f t="shared" si="59"/>
        <v>0</v>
      </c>
      <c r="AR66" s="1294">
        <f t="shared" si="43"/>
        <v>0</v>
      </c>
      <c r="AS66" s="1136"/>
      <c r="AT66" s="668">
        <f t="shared" si="49"/>
        <v>0</v>
      </c>
      <c r="AU66" s="463"/>
      <c r="AV66" s="468">
        <f t="shared" si="53"/>
        <v>0</v>
      </c>
      <c r="AW66" s="468">
        <f t="shared" si="50"/>
        <v>2000</v>
      </c>
      <c r="AX66" s="44"/>
      <c r="AY66" s="44"/>
      <c r="AZ66" s="44"/>
      <c r="BA66" s="44"/>
      <c r="BB66" s="44"/>
      <c r="BC66" s="434">
        <f>'[2]PRIH REBALANS'!$AG$405</f>
        <v>2000</v>
      </c>
      <c r="BD66" s="437">
        <f t="shared" si="66"/>
        <v>0</v>
      </c>
      <c r="BE66" s="209">
        <f t="shared" si="55"/>
        <v>0</v>
      </c>
      <c r="BF66" s="437">
        <f t="shared" si="51"/>
        <v>-100</v>
      </c>
    </row>
    <row r="67" spans="1:60" ht="39" customHeight="1">
      <c r="A67" s="1572"/>
      <c r="B67" s="1573"/>
      <c r="C67" s="1573"/>
      <c r="D67" s="1383">
        <v>111</v>
      </c>
      <c r="E67" s="1607"/>
      <c r="F67" s="1797">
        <v>613973</v>
      </c>
      <c r="G67" s="1837" t="s">
        <v>250</v>
      </c>
      <c r="H67" s="1575">
        <v>23000</v>
      </c>
      <c r="I67" s="1575"/>
      <c r="J67" s="1575"/>
      <c r="K67" s="1374">
        <f t="shared" si="73"/>
        <v>23000</v>
      </c>
      <c r="L67" s="1577">
        <v>40000</v>
      </c>
      <c r="M67" s="1301"/>
      <c r="N67" s="1302"/>
      <c r="O67" s="1375">
        <f t="shared" si="70"/>
        <v>40000</v>
      </c>
      <c r="P67" s="1577">
        <v>20000</v>
      </c>
      <c r="Q67" s="1301"/>
      <c r="R67" s="1302"/>
      <c r="S67" s="1375">
        <f t="shared" si="71"/>
        <v>20000</v>
      </c>
      <c r="T67" s="1577">
        <v>20000</v>
      </c>
      <c r="U67" s="1301"/>
      <c r="V67" s="1302"/>
      <c r="W67" s="1375">
        <f t="shared" si="72"/>
        <v>20000</v>
      </c>
      <c r="X67" s="1578">
        <f t="shared" si="13"/>
        <v>50</v>
      </c>
      <c r="Y67" s="2457"/>
      <c r="Z67" s="1136"/>
      <c r="AA67" s="1136"/>
      <c r="AB67" s="1293">
        <f t="shared" si="0"/>
        <v>0</v>
      </c>
      <c r="AC67" s="1293">
        <f t="shared" si="4"/>
        <v>0</v>
      </c>
      <c r="AD67" s="1293">
        <f t="shared" si="10"/>
        <v>-20000</v>
      </c>
      <c r="AE67" s="1293">
        <f t="shared" si="1"/>
        <v>0</v>
      </c>
      <c r="AF67" s="1294"/>
      <c r="AG67" s="1294"/>
      <c r="AH67" s="1294">
        <f t="shared" si="2"/>
        <v>-20000</v>
      </c>
      <c r="AI67" s="1294">
        <f t="shared" si="48"/>
        <v>0</v>
      </c>
      <c r="AJ67" s="1293">
        <f t="shared" si="11"/>
        <v>0</v>
      </c>
      <c r="AK67" s="1294"/>
      <c r="AL67" s="1294"/>
      <c r="AM67" s="1294"/>
      <c r="AN67" s="1294"/>
      <c r="AO67" s="1294"/>
      <c r="AP67" s="1294"/>
      <c r="AQ67" s="1294">
        <f t="shared" si="59"/>
        <v>-20000</v>
      </c>
      <c r="AR67" s="1294">
        <f t="shared" si="43"/>
        <v>0</v>
      </c>
      <c r="AS67" s="1136"/>
      <c r="AT67" s="668">
        <f t="shared" si="49"/>
        <v>0</v>
      </c>
      <c r="AU67" s="463"/>
      <c r="AV67" s="468">
        <f t="shared" si="53"/>
        <v>0</v>
      </c>
      <c r="AW67" s="468">
        <f t="shared" si="50"/>
        <v>20000</v>
      </c>
      <c r="AX67" s="44"/>
      <c r="AY67" s="44"/>
      <c r="AZ67" s="44"/>
      <c r="BA67" s="44"/>
      <c r="BB67" s="44"/>
      <c r="BC67" s="434">
        <v>40000</v>
      </c>
      <c r="BD67" s="437">
        <f t="shared" si="66"/>
        <v>20000</v>
      </c>
      <c r="BE67" s="209">
        <f t="shared" si="55"/>
        <v>0</v>
      </c>
      <c r="BF67" s="437">
        <f t="shared" si="51"/>
        <v>-50</v>
      </c>
    </row>
    <row r="68" spans="1:60" ht="39" customHeight="1">
      <c r="A68" s="1572"/>
      <c r="B68" s="1573"/>
      <c r="C68" s="1573"/>
      <c r="D68" s="1383">
        <v>111</v>
      </c>
      <c r="E68" s="1607"/>
      <c r="F68" s="1797">
        <v>613991</v>
      </c>
      <c r="G68" s="1837" t="s">
        <v>251</v>
      </c>
      <c r="H68" s="1575">
        <v>15000</v>
      </c>
      <c r="I68" s="1575"/>
      <c r="J68" s="1575"/>
      <c r="K68" s="1374">
        <f t="shared" si="73"/>
        <v>15000</v>
      </c>
      <c r="L68" s="1577">
        <v>15000</v>
      </c>
      <c r="M68" s="1301"/>
      <c r="N68" s="1302"/>
      <c r="O68" s="1375">
        <f t="shared" si="70"/>
        <v>15000</v>
      </c>
      <c r="P68" s="1577">
        <v>15000</v>
      </c>
      <c r="Q68" s="1301"/>
      <c r="R68" s="1302"/>
      <c r="S68" s="1375">
        <f t="shared" si="71"/>
        <v>15000</v>
      </c>
      <c r="T68" s="1577">
        <v>15000</v>
      </c>
      <c r="U68" s="1301"/>
      <c r="V68" s="1302"/>
      <c r="W68" s="1375">
        <f t="shared" si="72"/>
        <v>15000</v>
      </c>
      <c r="X68" s="1578">
        <f t="shared" si="13"/>
        <v>100</v>
      </c>
      <c r="Y68" s="2457"/>
      <c r="Z68" s="1136"/>
      <c r="AA68" s="1136"/>
      <c r="AB68" s="1293">
        <f t="shared" ref="AB68:AB131" si="74">T68+U68+V68-W68</f>
        <v>0</v>
      </c>
      <c r="AC68" s="1293">
        <f t="shared" si="4"/>
        <v>0</v>
      </c>
      <c r="AD68" s="1293">
        <f t="shared" si="10"/>
        <v>0</v>
      </c>
      <c r="AE68" s="1293">
        <f t="shared" si="1"/>
        <v>0</v>
      </c>
      <c r="AF68" s="1294"/>
      <c r="AG68" s="1294"/>
      <c r="AH68" s="1294">
        <f t="shared" si="2"/>
        <v>0</v>
      </c>
      <c r="AI68" s="1294">
        <f t="shared" si="48"/>
        <v>0</v>
      </c>
      <c r="AJ68" s="1293">
        <f t="shared" si="11"/>
        <v>0</v>
      </c>
      <c r="AK68" s="1294"/>
      <c r="AL68" s="1294"/>
      <c r="AM68" s="1294"/>
      <c r="AN68" s="1294"/>
      <c r="AO68" s="1294"/>
      <c r="AP68" s="1294"/>
      <c r="AQ68" s="1294">
        <f t="shared" si="59"/>
        <v>0</v>
      </c>
      <c r="AR68" s="1294">
        <f t="shared" si="43"/>
        <v>0</v>
      </c>
      <c r="AS68" s="1136"/>
      <c r="AT68" s="668">
        <f t="shared" si="49"/>
        <v>0</v>
      </c>
      <c r="AU68" s="463"/>
      <c r="AV68" s="468">
        <f t="shared" si="53"/>
        <v>0</v>
      </c>
      <c r="AW68" s="468">
        <f t="shared" si="50"/>
        <v>15000</v>
      </c>
      <c r="AX68" s="44"/>
      <c r="AY68" s="44"/>
      <c r="AZ68" s="44"/>
      <c r="BA68" s="44"/>
      <c r="BB68" s="44"/>
      <c r="BC68" s="434">
        <f>'[2]PRIH REBALANS'!$AG$407</f>
        <v>15000</v>
      </c>
      <c r="BD68" s="437">
        <f t="shared" si="66"/>
        <v>0</v>
      </c>
      <c r="BE68" s="209">
        <f t="shared" si="55"/>
        <v>0</v>
      </c>
      <c r="BF68" s="437">
        <f t="shared" si="51"/>
        <v>-100</v>
      </c>
    </row>
    <row r="69" spans="1:60" ht="39" customHeight="1">
      <c r="A69" s="1572"/>
      <c r="B69" s="1573"/>
      <c r="C69" s="1573"/>
      <c r="D69" s="1383">
        <v>111</v>
      </c>
      <c r="E69" s="1607"/>
      <c r="F69" s="1797">
        <v>613990</v>
      </c>
      <c r="G69" s="1837" t="s">
        <v>235</v>
      </c>
      <c r="H69" s="1575">
        <v>10000</v>
      </c>
      <c r="I69" s="1575"/>
      <c r="J69" s="1575"/>
      <c r="K69" s="1374">
        <f t="shared" si="73"/>
        <v>10000</v>
      </c>
      <c r="L69" s="1577">
        <v>10000</v>
      </c>
      <c r="M69" s="1301"/>
      <c r="N69" s="1302"/>
      <c r="O69" s="1375">
        <f t="shared" si="70"/>
        <v>10000</v>
      </c>
      <c r="P69" s="1577">
        <v>10000</v>
      </c>
      <c r="Q69" s="1301"/>
      <c r="R69" s="1302"/>
      <c r="S69" s="1375">
        <f t="shared" si="71"/>
        <v>10000</v>
      </c>
      <c r="T69" s="1577">
        <v>10000</v>
      </c>
      <c r="U69" s="1301"/>
      <c r="V69" s="1302"/>
      <c r="W69" s="1375">
        <f t="shared" si="72"/>
        <v>10000</v>
      </c>
      <c r="X69" s="1578">
        <f t="shared" si="13"/>
        <v>100</v>
      </c>
      <c r="Y69" s="2457"/>
      <c r="Z69" s="1136"/>
      <c r="AA69" s="1136"/>
      <c r="AB69" s="1293">
        <f t="shared" si="74"/>
        <v>0</v>
      </c>
      <c r="AC69" s="1293">
        <f t="shared" si="4"/>
        <v>0</v>
      </c>
      <c r="AD69" s="1293">
        <f t="shared" si="10"/>
        <v>0</v>
      </c>
      <c r="AE69" s="1293">
        <f t="shared" ref="AE69:AE132" si="75">T69+U69+V69-W69</f>
        <v>0</v>
      </c>
      <c r="AF69" s="1294"/>
      <c r="AG69" s="1294"/>
      <c r="AH69" s="1294">
        <f t="shared" ref="AH69:AH132" si="76">T69-L69</f>
        <v>0</v>
      </c>
      <c r="AI69" s="1294">
        <f t="shared" si="48"/>
        <v>0</v>
      </c>
      <c r="AJ69" s="1293">
        <f t="shared" si="11"/>
        <v>0</v>
      </c>
      <c r="AK69" s="1294"/>
      <c r="AL69" s="1294"/>
      <c r="AM69" s="1294"/>
      <c r="AN69" s="1294"/>
      <c r="AO69" s="1294"/>
      <c r="AP69" s="1294"/>
      <c r="AQ69" s="1294">
        <f t="shared" si="59"/>
        <v>0</v>
      </c>
      <c r="AR69" s="1294">
        <f t="shared" ref="AR69:AR98" si="77">T69+U69+V69-W69</f>
        <v>0</v>
      </c>
      <c r="AS69" s="1136"/>
      <c r="AT69" s="668">
        <f t="shared" si="49"/>
        <v>0</v>
      </c>
      <c r="AU69" s="463"/>
      <c r="AV69" s="468">
        <f t="shared" si="53"/>
        <v>0</v>
      </c>
      <c r="AW69" s="468">
        <f t="shared" si="50"/>
        <v>10000</v>
      </c>
      <c r="AX69" s="44"/>
      <c r="AY69" s="44"/>
      <c r="AZ69" s="44"/>
      <c r="BA69" s="44"/>
      <c r="BB69" s="44"/>
      <c r="BC69" s="434">
        <v>10000</v>
      </c>
      <c r="BD69" s="437">
        <f t="shared" si="66"/>
        <v>0</v>
      </c>
      <c r="BE69" s="209">
        <f t="shared" si="55"/>
        <v>0</v>
      </c>
      <c r="BF69" s="437">
        <f t="shared" si="51"/>
        <v>-100</v>
      </c>
    </row>
    <row r="70" spans="1:60" ht="39" customHeight="1">
      <c r="A70" s="1572"/>
      <c r="B70" s="1573"/>
      <c r="C70" s="1573"/>
      <c r="D70" s="1383">
        <v>111</v>
      </c>
      <c r="E70" s="1607"/>
      <c r="F70" s="1797">
        <v>613990</v>
      </c>
      <c r="G70" s="1850" t="s">
        <v>252</v>
      </c>
      <c r="H70" s="1575">
        <v>8000</v>
      </c>
      <c r="I70" s="1575"/>
      <c r="J70" s="1575"/>
      <c r="K70" s="1374">
        <f t="shared" si="73"/>
        <v>8000</v>
      </c>
      <c r="L70" s="1577">
        <v>10000</v>
      </c>
      <c r="M70" s="1301"/>
      <c r="N70" s="1302"/>
      <c r="O70" s="1375">
        <f t="shared" si="70"/>
        <v>10000</v>
      </c>
      <c r="P70" s="1577">
        <v>10000</v>
      </c>
      <c r="Q70" s="1301"/>
      <c r="R70" s="1302"/>
      <c r="S70" s="1375">
        <f t="shared" si="71"/>
        <v>10000</v>
      </c>
      <c r="T70" s="1577">
        <v>10000</v>
      </c>
      <c r="U70" s="1301"/>
      <c r="V70" s="1302"/>
      <c r="W70" s="1375">
        <f t="shared" si="72"/>
        <v>10000</v>
      </c>
      <c r="X70" s="1578">
        <f t="shared" si="13"/>
        <v>100</v>
      </c>
      <c r="Y70" s="2457"/>
      <c r="Z70" s="1136"/>
      <c r="AA70" s="1136"/>
      <c r="AB70" s="1293">
        <f t="shared" si="74"/>
        <v>0</v>
      </c>
      <c r="AC70" s="1293">
        <f t="shared" ref="AC70:AC133" si="78">T70+U70+V70-W70</f>
        <v>0</v>
      </c>
      <c r="AD70" s="1293">
        <f t="shared" si="10"/>
        <v>0</v>
      </c>
      <c r="AE70" s="1293">
        <f t="shared" si="75"/>
        <v>0</v>
      </c>
      <c r="AF70" s="1294"/>
      <c r="AG70" s="1294"/>
      <c r="AH70" s="1294">
        <f t="shared" si="76"/>
        <v>0</v>
      </c>
      <c r="AI70" s="1294">
        <f t="shared" ref="AI70:AI101" si="79">T70+U70+V70-W70</f>
        <v>0</v>
      </c>
      <c r="AJ70" s="1293">
        <f t="shared" si="11"/>
        <v>0</v>
      </c>
      <c r="AK70" s="1294"/>
      <c r="AL70" s="1294"/>
      <c r="AM70" s="1294"/>
      <c r="AN70" s="1294"/>
      <c r="AO70" s="1294"/>
      <c r="AP70" s="1294"/>
      <c r="AQ70" s="1294">
        <f t="shared" si="59"/>
        <v>0</v>
      </c>
      <c r="AR70" s="1294">
        <f t="shared" si="77"/>
        <v>0</v>
      </c>
      <c r="AS70" s="1136"/>
      <c r="AT70" s="668">
        <f t="shared" si="49"/>
        <v>0</v>
      </c>
      <c r="AU70" s="463"/>
      <c r="AV70" s="468">
        <f t="shared" si="53"/>
        <v>0</v>
      </c>
      <c r="AW70" s="468">
        <f t="shared" ref="AW70" si="80">W70-AV70</f>
        <v>10000</v>
      </c>
      <c r="AX70" s="44"/>
      <c r="AY70" s="44"/>
      <c r="AZ70" s="44"/>
      <c r="BA70" s="44"/>
      <c r="BB70" s="44"/>
      <c r="BC70" s="434">
        <v>10000</v>
      </c>
      <c r="BD70" s="437">
        <f t="shared" si="66"/>
        <v>0</v>
      </c>
      <c r="BE70" s="209">
        <f t="shared" si="55"/>
        <v>0</v>
      </c>
      <c r="BF70" s="437">
        <f t="shared" ref="BF70" si="81">BE70-X70</f>
        <v>-100</v>
      </c>
    </row>
    <row r="71" spans="1:60" ht="39" customHeight="1">
      <c r="A71" s="1572"/>
      <c r="B71" s="1573"/>
      <c r="C71" s="1573"/>
      <c r="D71" s="1373">
        <v>111</v>
      </c>
      <c r="E71" s="1607"/>
      <c r="F71" s="1797" t="s">
        <v>253</v>
      </c>
      <c r="G71" s="1850" t="s">
        <v>672</v>
      </c>
      <c r="H71" s="1575">
        <v>15000</v>
      </c>
      <c r="I71" s="1575"/>
      <c r="J71" s="1575"/>
      <c r="K71" s="1374">
        <f t="shared" si="73"/>
        <v>15000</v>
      </c>
      <c r="L71" s="1577">
        <v>15000</v>
      </c>
      <c r="M71" s="1301"/>
      <c r="N71" s="1302"/>
      <c r="O71" s="1375">
        <f t="shared" si="70"/>
        <v>15000</v>
      </c>
      <c r="P71" s="1577">
        <v>15000</v>
      </c>
      <c r="Q71" s="1301"/>
      <c r="R71" s="1302"/>
      <c r="S71" s="1375">
        <f t="shared" si="71"/>
        <v>15000</v>
      </c>
      <c r="T71" s="1577">
        <v>15000</v>
      </c>
      <c r="U71" s="1301"/>
      <c r="V71" s="1302"/>
      <c r="W71" s="1375">
        <f t="shared" si="72"/>
        <v>15000</v>
      </c>
      <c r="X71" s="1578">
        <f t="shared" ref="X71:X134" si="82">W71/O71*100</f>
        <v>100</v>
      </c>
      <c r="Y71" s="2457"/>
      <c r="Z71" s="1136"/>
      <c r="AA71" s="1136"/>
      <c r="AB71" s="1293">
        <f t="shared" si="74"/>
        <v>0</v>
      </c>
      <c r="AC71" s="1293">
        <f t="shared" si="78"/>
        <v>0</v>
      </c>
      <c r="AD71" s="1293">
        <f t="shared" ref="AD71:AD134" si="83">W71-O71</f>
        <v>0</v>
      </c>
      <c r="AE71" s="1293">
        <f t="shared" si="75"/>
        <v>0</v>
      </c>
      <c r="AF71" s="1294"/>
      <c r="AG71" s="1294"/>
      <c r="AH71" s="1294">
        <f t="shared" si="76"/>
        <v>0</v>
      </c>
      <c r="AI71" s="1294">
        <f t="shared" si="79"/>
        <v>0</v>
      </c>
      <c r="AJ71" s="1293">
        <f t="shared" ref="AJ71:AJ134" si="84">T71+U71+V71-W71</f>
        <v>0</v>
      </c>
      <c r="AK71" s="1294"/>
      <c r="AL71" s="1294"/>
      <c r="AM71" s="1294"/>
      <c r="AN71" s="1294"/>
      <c r="AO71" s="1294"/>
      <c r="AP71" s="1294"/>
      <c r="AQ71" s="1294">
        <f t="shared" si="59"/>
        <v>0</v>
      </c>
      <c r="AR71" s="1294">
        <f t="shared" si="77"/>
        <v>0</v>
      </c>
      <c r="AS71" s="1136"/>
      <c r="AT71" s="668" t="e">
        <f>#REF!+#REF!+#REF!-#REF!</f>
        <v>#REF!</v>
      </c>
      <c r="AU71" s="463"/>
      <c r="AV71" s="468" t="e">
        <f>#REF!+#REF!+#REF!-#REF!</f>
        <v>#REF!</v>
      </c>
      <c r="AW71" s="468" t="e">
        <f>#REF!-AV71</f>
        <v>#REF!</v>
      </c>
      <c r="AX71" s="44"/>
      <c r="AY71" s="44"/>
      <c r="AZ71" s="44"/>
      <c r="BA71" s="44"/>
      <c r="BB71" s="44"/>
      <c r="BC71" s="360"/>
      <c r="BD71" s="437" t="e">
        <f>BC71-#REF!</f>
        <v>#REF!</v>
      </c>
      <c r="BE71" s="209" t="e">
        <f>#REF!-#REF!</f>
        <v>#REF!</v>
      </c>
      <c r="BF71" s="437" t="e">
        <f>BE71-#REF!</f>
        <v>#REF!</v>
      </c>
    </row>
    <row r="72" spans="1:60" ht="39" customHeight="1">
      <c r="A72" s="1376"/>
      <c r="B72" s="1377"/>
      <c r="C72" s="1377"/>
      <c r="D72" s="1373">
        <v>111</v>
      </c>
      <c r="E72" s="1373"/>
      <c r="F72" s="1799">
        <v>614000</v>
      </c>
      <c r="G72" s="1851" t="s">
        <v>254</v>
      </c>
      <c r="H72" s="1380">
        <f t="shared" ref="H72:O72" si="85">SUM(H73:H76)</f>
        <v>145000.01</v>
      </c>
      <c r="I72" s="1380">
        <f t="shared" si="85"/>
        <v>0</v>
      </c>
      <c r="J72" s="1380">
        <f t="shared" si="85"/>
        <v>0</v>
      </c>
      <c r="K72" s="1630">
        <f t="shared" si="85"/>
        <v>145000.01</v>
      </c>
      <c r="L72" s="1601">
        <f t="shared" si="85"/>
        <v>125000</v>
      </c>
      <c r="M72" s="1303">
        <f t="shared" si="85"/>
        <v>0</v>
      </c>
      <c r="N72" s="1304">
        <f t="shared" si="85"/>
        <v>0</v>
      </c>
      <c r="O72" s="1474">
        <f t="shared" si="85"/>
        <v>125000</v>
      </c>
      <c r="P72" s="1601">
        <f>SUM(P73:P75)</f>
        <v>125000</v>
      </c>
      <c r="Q72" s="1303"/>
      <c r="R72" s="1304"/>
      <c r="S72" s="1474">
        <f>SUM(S73:S75)</f>
        <v>125000</v>
      </c>
      <c r="T72" s="1601">
        <f>SUM(T73:T75)</f>
        <v>125000</v>
      </c>
      <c r="U72" s="1303"/>
      <c r="V72" s="1304"/>
      <c r="W72" s="1317">
        <f>SUM(W73:W75)</f>
        <v>125000</v>
      </c>
      <c r="X72" s="1578">
        <f t="shared" si="82"/>
        <v>100</v>
      </c>
      <c r="Y72" s="2457">
        <f>'[1]PRIH REBALANS'!$AK$392</f>
        <v>125000</v>
      </c>
      <c r="Z72" s="1136"/>
      <c r="AA72" s="1136">
        <f>'[9]PRIH REBALANS'!$AK$392</f>
        <v>125000</v>
      </c>
      <c r="AB72" s="1293">
        <f t="shared" si="74"/>
        <v>0</v>
      </c>
      <c r="AC72" s="1293">
        <f t="shared" si="78"/>
        <v>0</v>
      </c>
      <c r="AD72" s="1293">
        <f t="shared" si="83"/>
        <v>0</v>
      </c>
      <c r="AE72" s="1293">
        <f t="shared" si="75"/>
        <v>0</v>
      </c>
      <c r="AF72" s="1294"/>
      <c r="AG72" s="1294"/>
      <c r="AH72" s="1294">
        <f t="shared" si="76"/>
        <v>0</v>
      </c>
      <c r="AI72" s="1294">
        <f t="shared" si="79"/>
        <v>0</v>
      </c>
      <c r="AJ72" s="1293">
        <f t="shared" si="84"/>
        <v>0</v>
      </c>
      <c r="AK72" s="1294"/>
      <c r="AL72" s="1294"/>
      <c r="AM72" s="1294"/>
      <c r="AN72" s="1294"/>
      <c r="AO72" s="1294"/>
      <c r="AP72" s="1294"/>
      <c r="AQ72" s="1294">
        <f t="shared" si="59"/>
        <v>0</v>
      </c>
      <c r="AR72" s="1294">
        <f t="shared" si="77"/>
        <v>0</v>
      </c>
      <c r="AS72" s="1136">
        <f>SUM(W72:W74)</f>
        <v>200000</v>
      </c>
      <c r="AT72" s="668">
        <f t="shared" ref="AT72:AT77" si="86">T71+U71+V71-W71</f>
        <v>0</v>
      </c>
      <c r="AU72" s="463">
        <f>SUM(W72:W75)</f>
        <v>250000</v>
      </c>
      <c r="AV72" s="468">
        <f t="shared" ref="AV72:AV77" si="87">T71+U71+V71-W71</f>
        <v>0</v>
      </c>
      <c r="AW72" s="468">
        <f t="shared" ref="AW72:AW77" si="88">W71-AV72</f>
        <v>15000</v>
      </c>
      <c r="AX72" s="44"/>
      <c r="AY72" s="44"/>
      <c r="AZ72" s="44"/>
      <c r="BA72" s="44"/>
      <c r="BB72" s="44"/>
      <c r="BC72" s="434">
        <f>'[2]PRIH REBALANS'!$AK$411</f>
        <v>140000</v>
      </c>
      <c r="BD72" s="437">
        <f>BC72-T71</f>
        <v>125000</v>
      </c>
      <c r="BE72" s="209">
        <f t="shared" ref="BE72:BE77" si="89">T71-W71</f>
        <v>0</v>
      </c>
      <c r="BF72" s="437">
        <f t="shared" ref="BF72:BF77" si="90">BE72-X71</f>
        <v>-100</v>
      </c>
      <c r="BG72" s="209">
        <f>SUM(W72:W75)</f>
        <v>250000</v>
      </c>
      <c r="BH72" s="209">
        <f>BG72-W71</f>
        <v>235000</v>
      </c>
    </row>
    <row r="73" spans="1:60" ht="39" customHeight="1">
      <c r="A73" s="1376"/>
      <c r="B73" s="1377"/>
      <c r="C73" s="1377"/>
      <c r="D73" s="1373">
        <v>111</v>
      </c>
      <c r="E73" s="1373"/>
      <c r="F73" s="1797" t="s">
        <v>1289</v>
      </c>
      <c r="G73" s="1850" t="s">
        <v>255</v>
      </c>
      <c r="H73" s="1575">
        <v>25000.01</v>
      </c>
      <c r="I73" s="1575"/>
      <c r="J73" s="1575"/>
      <c r="K73" s="1374">
        <f>SUM(H73:J73)</f>
        <v>25000.01</v>
      </c>
      <c r="L73" s="1577">
        <v>10000</v>
      </c>
      <c r="M73" s="1301"/>
      <c r="N73" s="1302"/>
      <c r="O73" s="1375">
        <f>SUM(L73:N73)</f>
        <v>10000</v>
      </c>
      <c r="P73" s="1577">
        <v>25000</v>
      </c>
      <c r="Q73" s="1301"/>
      <c r="R73" s="1302"/>
      <c r="S73" s="1375">
        <f>SUM(P73:R73)</f>
        <v>25000</v>
      </c>
      <c r="T73" s="1577">
        <v>25000</v>
      </c>
      <c r="U73" s="1301"/>
      <c r="V73" s="1302"/>
      <c r="W73" s="1375">
        <f>SUM(T73:V73)</f>
        <v>25000</v>
      </c>
      <c r="X73" s="1578">
        <f t="shared" si="82"/>
        <v>250</v>
      </c>
      <c r="Y73" s="2457"/>
      <c r="Z73" s="1136"/>
      <c r="AA73" s="1136"/>
      <c r="AB73" s="1293">
        <f t="shared" si="74"/>
        <v>0</v>
      </c>
      <c r="AC73" s="1293">
        <f t="shared" si="78"/>
        <v>0</v>
      </c>
      <c r="AD73" s="1293">
        <f t="shared" si="83"/>
        <v>15000</v>
      </c>
      <c r="AE73" s="1293">
        <f t="shared" si="75"/>
        <v>0</v>
      </c>
      <c r="AF73" s="1294"/>
      <c r="AG73" s="1294"/>
      <c r="AH73" s="1294">
        <f t="shared" si="76"/>
        <v>15000</v>
      </c>
      <c r="AI73" s="1294">
        <f t="shared" si="79"/>
        <v>0</v>
      </c>
      <c r="AJ73" s="1293">
        <f t="shared" si="84"/>
        <v>0</v>
      </c>
      <c r="AK73" s="1294"/>
      <c r="AL73" s="1294"/>
      <c r="AM73" s="1294"/>
      <c r="AN73" s="1294"/>
      <c r="AO73" s="1294"/>
      <c r="AP73" s="1294"/>
      <c r="AQ73" s="1294">
        <f t="shared" si="59"/>
        <v>15000</v>
      </c>
      <c r="AR73" s="1294">
        <f t="shared" si="77"/>
        <v>0</v>
      </c>
      <c r="AS73" s="1136"/>
      <c r="AT73" s="668">
        <f t="shared" si="86"/>
        <v>0</v>
      </c>
      <c r="AU73" s="674" t="s">
        <v>1557</v>
      </c>
      <c r="AV73" s="468">
        <f t="shared" si="87"/>
        <v>0</v>
      </c>
      <c r="AW73" s="468">
        <f t="shared" si="88"/>
        <v>125000</v>
      </c>
      <c r="AX73" s="44"/>
      <c r="AY73" s="44"/>
      <c r="AZ73" s="44"/>
      <c r="BA73" s="44"/>
      <c r="BB73" s="44"/>
      <c r="BC73" s="585">
        <v>25000</v>
      </c>
      <c r="BD73" s="437"/>
      <c r="BE73" s="209">
        <f t="shared" si="89"/>
        <v>0</v>
      </c>
      <c r="BF73" s="437">
        <f t="shared" si="90"/>
        <v>-100</v>
      </c>
    </row>
    <row r="74" spans="1:60" ht="39" customHeight="1">
      <c r="A74" s="1572"/>
      <c r="B74" s="1573"/>
      <c r="C74" s="1573"/>
      <c r="D74" s="1373">
        <v>111</v>
      </c>
      <c r="E74" s="1607" t="s">
        <v>256</v>
      </c>
      <c r="F74" s="1808">
        <v>614200</v>
      </c>
      <c r="G74" s="1850" t="s">
        <v>257</v>
      </c>
      <c r="H74" s="1575">
        <v>60000</v>
      </c>
      <c r="I74" s="1575"/>
      <c r="J74" s="1575"/>
      <c r="K74" s="1374">
        <f>SUM(H74:J74)</f>
        <v>60000</v>
      </c>
      <c r="L74" s="1577">
        <v>65000</v>
      </c>
      <c r="M74" s="1301"/>
      <c r="N74" s="1304"/>
      <c r="O74" s="1375">
        <f t="shared" ref="O74:O75" si="91">SUM(L74:N74)</f>
        <v>65000</v>
      </c>
      <c r="P74" s="1577">
        <v>50000</v>
      </c>
      <c r="Q74" s="1301"/>
      <c r="R74" s="1302"/>
      <c r="S74" s="1375">
        <f t="shared" ref="S74:S75" si="92">SUM(P74:R74)</f>
        <v>50000</v>
      </c>
      <c r="T74" s="1577">
        <v>50000</v>
      </c>
      <c r="U74" s="1301"/>
      <c r="V74" s="1302"/>
      <c r="W74" s="1375">
        <f t="shared" ref="W74:W75" si="93">SUM(T74:V74)</f>
        <v>50000</v>
      </c>
      <c r="X74" s="1578">
        <f t="shared" si="82"/>
        <v>76.923076923076934</v>
      </c>
      <c r="Y74" s="2457"/>
      <c r="Z74" s="1136"/>
      <c r="AA74" s="1136"/>
      <c r="AB74" s="1293">
        <f t="shared" si="74"/>
        <v>0</v>
      </c>
      <c r="AC74" s="1293">
        <f t="shared" si="78"/>
        <v>0</v>
      </c>
      <c r="AD74" s="1293">
        <f t="shared" si="83"/>
        <v>-15000</v>
      </c>
      <c r="AE74" s="1293">
        <f t="shared" si="75"/>
        <v>0</v>
      </c>
      <c r="AF74" s="1294"/>
      <c r="AG74" s="1294"/>
      <c r="AH74" s="1294">
        <f t="shared" si="76"/>
        <v>-15000</v>
      </c>
      <c r="AI74" s="1294">
        <f t="shared" si="79"/>
        <v>0</v>
      </c>
      <c r="AJ74" s="1293">
        <f t="shared" si="84"/>
        <v>0</v>
      </c>
      <c r="AK74" s="1294"/>
      <c r="AL74" s="1294"/>
      <c r="AM74" s="1294"/>
      <c r="AN74" s="1294"/>
      <c r="AO74" s="1294"/>
      <c r="AP74" s="1294"/>
      <c r="AQ74" s="1294">
        <f t="shared" si="59"/>
        <v>-15000</v>
      </c>
      <c r="AR74" s="1294">
        <f t="shared" si="77"/>
        <v>0</v>
      </c>
      <c r="AS74" s="1136"/>
      <c r="AT74" s="668">
        <f t="shared" si="86"/>
        <v>0</v>
      </c>
      <c r="AU74" s="463"/>
      <c r="AV74" s="468">
        <f t="shared" si="87"/>
        <v>0</v>
      </c>
      <c r="AW74" s="468">
        <f t="shared" si="88"/>
        <v>25000</v>
      </c>
      <c r="AX74" s="44"/>
      <c r="AY74" s="44"/>
      <c r="AZ74" s="44"/>
      <c r="BA74" s="44"/>
      <c r="BB74" s="44"/>
      <c r="BC74" s="434">
        <v>65000</v>
      </c>
      <c r="BD74" s="437"/>
      <c r="BE74" s="209">
        <f t="shared" si="89"/>
        <v>0</v>
      </c>
      <c r="BF74" s="437">
        <f t="shared" si="90"/>
        <v>-250</v>
      </c>
    </row>
    <row r="75" spans="1:60" ht="39" customHeight="1">
      <c r="A75" s="1572"/>
      <c r="B75" s="1573"/>
      <c r="C75" s="1573"/>
      <c r="D75" s="1373">
        <v>111</v>
      </c>
      <c r="E75" s="1607" t="s">
        <v>258</v>
      </c>
      <c r="F75" s="1808">
        <v>614300</v>
      </c>
      <c r="G75" s="1850" t="s">
        <v>259</v>
      </c>
      <c r="H75" s="1575">
        <v>40000</v>
      </c>
      <c r="I75" s="1575"/>
      <c r="J75" s="1575"/>
      <c r="K75" s="1374">
        <f>SUM(H75:J75)</f>
        <v>40000</v>
      </c>
      <c r="L75" s="1577">
        <v>50000</v>
      </c>
      <c r="M75" s="1301"/>
      <c r="N75" s="1302"/>
      <c r="O75" s="1375">
        <f t="shared" si="91"/>
        <v>50000</v>
      </c>
      <c r="P75" s="1577">
        <v>50000</v>
      </c>
      <c r="Q75" s="1301"/>
      <c r="R75" s="1302"/>
      <c r="S75" s="1375">
        <f t="shared" si="92"/>
        <v>50000</v>
      </c>
      <c r="T75" s="1577">
        <v>50000</v>
      </c>
      <c r="U75" s="1301"/>
      <c r="V75" s="1302"/>
      <c r="W75" s="1375">
        <f t="shared" si="93"/>
        <v>50000</v>
      </c>
      <c r="X75" s="1578">
        <f t="shared" si="82"/>
        <v>100</v>
      </c>
      <c r="Y75" s="2457"/>
      <c r="Z75" s="1136"/>
      <c r="AA75" s="1136"/>
      <c r="AB75" s="1293">
        <f t="shared" si="74"/>
        <v>0</v>
      </c>
      <c r="AC75" s="1293">
        <f t="shared" si="78"/>
        <v>0</v>
      </c>
      <c r="AD75" s="1293">
        <f t="shared" si="83"/>
        <v>0</v>
      </c>
      <c r="AE75" s="1293">
        <f t="shared" si="75"/>
        <v>0</v>
      </c>
      <c r="AF75" s="1294"/>
      <c r="AG75" s="1294"/>
      <c r="AH75" s="1294">
        <f t="shared" si="76"/>
        <v>0</v>
      </c>
      <c r="AI75" s="1294">
        <f t="shared" si="79"/>
        <v>0</v>
      </c>
      <c r="AJ75" s="1293">
        <f t="shared" si="84"/>
        <v>0</v>
      </c>
      <c r="AK75" s="1294"/>
      <c r="AL75" s="1294"/>
      <c r="AM75" s="1294"/>
      <c r="AN75" s="1294"/>
      <c r="AO75" s="1294"/>
      <c r="AP75" s="1294"/>
      <c r="AQ75" s="1294">
        <f t="shared" si="59"/>
        <v>0</v>
      </c>
      <c r="AR75" s="1294">
        <f t="shared" si="77"/>
        <v>0</v>
      </c>
      <c r="AS75" s="1136"/>
      <c r="AT75" s="668">
        <f t="shared" si="86"/>
        <v>0</v>
      </c>
      <c r="AU75" s="463"/>
      <c r="AV75" s="468">
        <f t="shared" si="87"/>
        <v>0</v>
      </c>
      <c r="AW75" s="468">
        <f t="shared" si="88"/>
        <v>50000</v>
      </c>
      <c r="AX75" s="44"/>
      <c r="AY75" s="44"/>
      <c r="AZ75" s="44"/>
      <c r="BA75" s="44"/>
      <c r="BB75" s="44"/>
      <c r="BC75" s="434">
        <v>50000</v>
      </c>
      <c r="BD75" s="437"/>
      <c r="BE75" s="209">
        <f t="shared" si="89"/>
        <v>0</v>
      </c>
      <c r="BF75" s="437">
        <f t="shared" si="90"/>
        <v>-76.923076923076934</v>
      </c>
    </row>
    <row r="76" spans="1:60" ht="39" hidden="1" customHeight="1">
      <c r="A76" s="1572"/>
      <c r="B76" s="1573"/>
      <c r="C76" s="1573"/>
      <c r="D76" s="1383">
        <v>111</v>
      </c>
      <c r="E76" s="1607" t="s">
        <v>260</v>
      </c>
      <c r="F76" s="1808">
        <v>614329</v>
      </c>
      <c r="G76" s="1850" t="s">
        <v>795</v>
      </c>
      <c r="H76" s="1575">
        <v>20000</v>
      </c>
      <c r="I76" s="1575"/>
      <c r="J76" s="1575"/>
      <c r="K76" s="1374">
        <f>SUM(H76:J76)</f>
        <v>20000</v>
      </c>
      <c r="L76" s="1577"/>
      <c r="M76" s="1301"/>
      <c r="N76" s="1302"/>
      <c r="O76" s="1375"/>
      <c r="P76" s="1620"/>
      <c r="Q76" s="1313"/>
      <c r="R76" s="1314"/>
      <c r="S76" s="1335"/>
      <c r="T76" s="1632">
        <v>50000</v>
      </c>
      <c r="U76" s="1319"/>
      <c r="V76" s="1320"/>
      <c r="W76" s="1336">
        <f>SUM(T76)</f>
        <v>50000</v>
      </c>
      <c r="X76" s="1578" t="e">
        <f t="shared" si="82"/>
        <v>#DIV/0!</v>
      </c>
      <c r="Y76" s="2457"/>
      <c r="Z76" s="1136"/>
      <c r="AA76" s="1136"/>
      <c r="AB76" s="1293">
        <f t="shared" si="74"/>
        <v>0</v>
      </c>
      <c r="AC76" s="1293">
        <f t="shared" si="78"/>
        <v>0</v>
      </c>
      <c r="AD76" s="1293">
        <f t="shared" si="83"/>
        <v>50000</v>
      </c>
      <c r="AE76" s="1293">
        <f t="shared" si="75"/>
        <v>0</v>
      </c>
      <c r="AF76" s="1294"/>
      <c r="AG76" s="1294"/>
      <c r="AH76" s="1294">
        <f t="shared" si="76"/>
        <v>50000</v>
      </c>
      <c r="AI76" s="1294">
        <f t="shared" si="79"/>
        <v>0</v>
      </c>
      <c r="AJ76" s="1293">
        <f t="shared" si="84"/>
        <v>0</v>
      </c>
      <c r="AK76" s="1294"/>
      <c r="AL76" s="1294"/>
      <c r="AM76" s="1294"/>
      <c r="AN76" s="1294"/>
      <c r="AO76" s="1294"/>
      <c r="AP76" s="1294"/>
      <c r="AQ76" s="1294">
        <f t="shared" si="59"/>
        <v>50000</v>
      </c>
      <c r="AR76" s="1294">
        <f t="shared" si="77"/>
        <v>0</v>
      </c>
      <c r="AS76" s="1136"/>
      <c r="AT76" s="668">
        <f t="shared" si="86"/>
        <v>0</v>
      </c>
      <c r="AU76" s="463"/>
      <c r="AV76" s="468">
        <f t="shared" si="87"/>
        <v>0</v>
      </c>
      <c r="AW76" s="468">
        <f t="shared" si="88"/>
        <v>50000</v>
      </c>
      <c r="AX76" s="44"/>
      <c r="AY76" s="44"/>
      <c r="AZ76" s="44"/>
      <c r="BA76" s="44"/>
      <c r="BB76" s="44"/>
      <c r="BC76" s="434"/>
      <c r="BD76" s="437"/>
      <c r="BE76" s="209">
        <f t="shared" si="89"/>
        <v>0</v>
      </c>
      <c r="BF76" s="437">
        <f t="shared" si="90"/>
        <v>-100</v>
      </c>
    </row>
    <row r="77" spans="1:60" ht="39" customHeight="1">
      <c r="A77" s="1376"/>
      <c r="B77" s="1377"/>
      <c r="C77" s="1377"/>
      <c r="D77" s="1383">
        <v>111</v>
      </c>
      <c r="E77" s="1373"/>
      <c r="F77" s="1803" t="s">
        <v>261</v>
      </c>
      <c r="G77" s="1851" t="s">
        <v>31</v>
      </c>
      <c r="H77" s="1633">
        <v>50000</v>
      </c>
      <c r="I77" s="1633"/>
      <c r="J77" s="1633"/>
      <c r="K77" s="1381">
        <f>SUM(H77:J77)</f>
        <v>50000</v>
      </c>
      <c r="L77" s="1632">
        <v>50000</v>
      </c>
      <c r="M77" s="1319"/>
      <c r="N77" s="1320"/>
      <c r="O77" s="1336">
        <f>SUM(L77)</f>
        <v>50000</v>
      </c>
      <c r="P77" s="1634">
        <v>50000</v>
      </c>
      <c r="Q77" s="1321"/>
      <c r="R77" s="1322"/>
      <c r="S77" s="1336">
        <f>SUM(P77:R77)</f>
        <v>50000</v>
      </c>
      <c r="T77" s="1632">
        <v>50000</v>
      </c>
      <c r="U77" s="1319"/>
      <c r="V77" s="1320"/>
      <c r="W77" s="1336">
        <f>SUM(T77:V77)</f>
        <v>50000</v>
      </c>
      <c r="X77" s="1578">
        <f t="shared" si="82"/>
        <v>100</v>
      </c>
      <c r="Y77" s="2457"/>
      <c r="Z77" s="1136"/>
      <c r="AA77" s="1136"/>
      <c r="AB77" s="1293">
        <f t="shared" si="74"/>
        <v>0</v>
      </c>
      <c r="AC77" s="1293">
        <f t="shared" si="78"/>
        <v>0</v>
      </c>
      <c r="AD77" s="1293">
        <f t="shared" si="83"/>
        <v>0</v>
      </c>
      <c r="AE77" s="1293">
        <f t="shared" si="75"/>
        <v>0</v>
      </c>
      <c r="AF77" s="1294"/>
      <c r="AG77" s="1294"/>
      <c r="AH77" s="1294">
        <f t="shared" si="76"/>
        <v>0</v>
      </c>
      <c r="AI77" s="1294">
        <f t="shared" si="79"/>
        <v>0</v>
      </c>
      <c r="AJ77" s="1293">
        <f t="shared" si="84"/>
        <v>0</v>
      </c>
      <c r="AK77" s="1294"/>
      <c r="AL77" s="1294"/>
      <c r="AM77" s="1294"/>
      <c r="AN77" s="1294"/>
      <c r="AO77" s="1294"/>
      <c r="AP77" s="1294"/>
      <c r="AQ77" s="1294">
        <f t="shared" si="59"/>
        <v>0</v>
      </c>
      <c r="AR77" s="1294">
        <f t="shared" si="77"/>
        <v>0</v>
      </c>
      <c r="AS77" s="1136"/>
      <c r="AT77" s="668">
        <f t="shared" si="86"/>
        <v>0</v>
      </c>
      <c r="AU77" s="463"/>
      <c r="AV77" s="468">
        <f t="shared" si="87"/>
        <v>0</v>
      </c>
      <c r="AW77" s="468">
        <f t="shared" si="88"/>
        <v>50000</v>
      </c>
      <c r="AX77" s="463"/>
      <c r="AY77" s="463"/>
      <c r="AZ77" s="463"/>
      <c r="BA77" s="463"/>
      <c r="BB77" s="463"/>
      <c r="BC77" s="437">
        <f>T76+U76+V76+-W76</f>
        <v>0</v>
      </c>
      <c r="BD77" s="437"/>
      <c r="BE77" s="209">
        <f t="shared" si="89"/>
        <v>0</v>
      </c>
      <c r="BF77" s="437" t="e">
        <f t="shared" si="90"/>
        <v>#DIV/0!</v>
      </c>
      <c r="BG77" s="209">
        <f>W76</f>
        <v>50000</v>
      </c>
    </row>
    <row r="78" spans="1:60" s="289" customFormat="1" ht="53.45" customHeight="1">
      <c r="A78" s="1594" t="s">
        <v>243</v>
      </c>
      <c r="B78" s="1595" t="s">
        <v>203</v>
      </c>
      <c r="C78" s="1595" t="s">
        <v>205</v>
      </c>
      <c r="D78" s="1596">
        <v>111</v>
      </c>
      <c r="E78" s="1596" t="s">
        <v>206</v>
      </c>
      <c r="F78" s="1804"/>
      <c r="G78" s="1852" t="s">
        <v>1232</v>
      </c>
      <c r="H78" s="1619">
        <f>SUM(H81)</f>
        <v>0</v>
      </c>
      <c r="I78" s="1619">
        <f>SUM(I91)</f>
        <v>0</v>
      </c>
      <c r="J78" s="1619">
        <f>SUM(J91)</f>
        <v>0</v>
      </c>
      <c r="K78" s="1585">
        <f>SUM(K81)</f>
        <v>0</v>
      </c>
      <c r="L78" s="1620">
        <f>L80</f>
        <v>104640</v>
      </c>
      <c r="M78" s="1313">
        <f>SUM(M91)</f>
        <v>0</v>
      </c>
      <c r="N78" s="1314">
        <f>SUM(N91)</f>
        <v>0</v>
      </c>
      <c r="O78" s="1335">
        <f>O80</f>
        <v>104640</v>
      </c>
      <c r="P78" s="1620">
        <f>SUM(P80)</f>
        <v>12450</v>
      </c>
      <c r="Q78" s="1313"/>
      <c r="R78" s="1314"/>
      <c r="S78" s="1335">
        <f>SUM(S80)</f>
        <v>11450</v>
      </c>
      <c r="T78" s="1620">
        <f>SUM(T80)</f>
        <v>106850</v>
      </c>
      <c r="U78" s="1313"/>
      <c r="V78" s="1314"/>
      <c r="W78" s="1315">
        <f>SUM(W80)</f>
        <v>106850</v>
      </c>
      <c r="X78" s="1598">
        <f t="shared" si="82"/>
        <v>102.11200305810397</v>
      </c>
      <c r="Y78" s="758">
        <f>'[1]PRIH REBALANS'!$AK$401</f>
        <v>106850</v>
      </c>
      <c r="Z78" s="1135"/>
      <c r="AA78" s="1135">
        <f>'[9]PRIH REBALANS'!$AK$401</f>
        <v>106850</v>
      </c>
      <c r="AB78" s="1293">
        <f t="shared" si="74"/>
        <v>0</v>
      </c>
      <c r="AC78" s="1293">
        <f t="shared" si="78"/>
        <v>0</v>
      </c>
      <c r="AD78" s="1293">
        <f t="shared" si="83"/>
        <v>2210</v>
      </c>
      <c r="AE78" s="1293">
        <f t="shared" si="75"/>
        <v>0</v>
      </c>
      <c r="AF78" s="1293"/>
      <c r="AG78" s="1293"/>
      <c r="AH78" s="1294">
        <f t="shared" si="76"/>
        <v>2210</v>
      </c>
      <c r="AI78" s="1294">
        <f t="shared" si="79"/>
        <v>0</v>
      </c>
      <c r="AJ78" s="1293">
        <f t="shared" si="84"/>
        <v>0</v>
      </c>
      <c r="AK78" s="1294"/>
      <c r="AL78" s="1294"/>
      <c r="AM78" s="1294"/>
      <c r="AN78" s="1294"/>
      <c r="AO78" s="1294"/>
      <c r="AP78" s="1294"/>
      <c r="AQ78" s="1294"/>
      <c r="AR78" s="1294">
        <f t="shared" si="77"/>
        <v>0</v>
      </c>
      <c r="AS78" s="1135">
        <f>SUM(AS82,AS85,AS89,AS91)</f>
        <v>106850</v>
      </c>
      <c r="AT78" s="668">
        <f t="shared" ref="AT78:AT98" si="94">T78+U78+V78-W78</f>
        <v>0</v>
      </c>
      <c r="AU78" s="668">
        <f>SUM(AU82,AU85,AU89,AU91)</f>
        <v>106850</v>
      </c>
      <c r="AV78" s="343">
        <f>'[3]PRIH REBALANS'!$AK$420</f>
        <v>104640</v>
      </c>
      <c r="AW78" s="343">
        <f t="shared" ref="AW78:AW98" si="95">W78-AV78</f>
        <v>2210</v>
      </c>
      <c r="AX78" s="668"/>
      <c r="AY78" s="668"/>
      <c r="AZ78" s="668"/>
      <c r="BA78" s="668"/>
      <c r="BB78" s="668"/>
      <c r="BC78" s="437">
        <f>'[2]PRIH REBALANS'!$AK$420</f>
        <v>104640</v>
      </c>
      <c r="BD78" s="437"/>
      <c r="BE78" s="289">
        <f t="shared" ref="BE78:BE98" si="96">W78/O78*100</f>
        <v>102.11200305810397</v>
      </c>
      <c r="BF78" s="437">
        <f t="shared" ref="BF78:BF98" si="97">BE78-X78</f>
        <v>0</v>
      </c>
      <c r="BG78" s="437">
        <f>SUM(BG82:BG92)</f>
        <v>106850</v>
      </c>
    </row>
    <row r="79" spans="1:60" s="289" customFormat="1" ht="39" customHeight="1">
      <c r="A79" s="1594"/>
      <c r="B79" s="1595"/>
      <c r="C79" s="1595"/>
      <c r="D79" s="1596"/>
      <c r="E79" s="1596"/>
      <c r="F79" s="1804"/>
      <c r="G79" s="1834" t="s">
        <v>245</v>
      </c>
      <c r="H79" s="1619"/>
      <c r="I79" s="1619"/>
      <c r="J79" s="1619"/>
      <c r="K79" s="1585"/>
      <c r="L79" s="1620"/>
      <c r="M79" s="1313"/>
      <c r="N79" s="1314"/>
      <c r="O79" s="1335"/>
      <c r="P79" s="1620"/>
      <c r="Q79" s="1313"/>
      <c r="R79" s="1314"/>
      <c r="S79" s="1335"/>
      <c r="T79" s="1620"/>
      <c r="U79" s="1313"/>
      <c r="V79" s="1314"/>
      <c r="W79" s="1315"/>
      <c r="X79" s="1598"/>
      <c r="Y79" s="758"/>
      <c r="Z79" s="1135"/>
      <c r="AA79" s="1135"/>
      <c r="AB79" s="1293">
        <f t="shared" si="74"/>
        <v>0</v>
      </c>
      <c r="AC79" s="1293">
        <f t="shared" si="78"/>
        <v>0</v>
      </c>
      <c r="AD79" s="1293">
        <f t="shared" si="83"/>
        <v>0</v>
      </c>
      <c r="AE79" s="1293">
        <f t="shared" si="75"/>
        <v>0</v>
      </c>
      <c r="AF79" s="1293"/>
      <c r="AG79" s="1293"/>
      <c r="AH79" s="1294">
        <f t="shared" si="76"/>
        <v>0</v>
      </c>
      <c r="AI79" s="1294">
        <f t="shared" si="79"/>
        <v>0</v>
      </c>
      <c r="AJ79" s="1293">
        <f t="shared" si="84"/>
        <v>0</v>
      </c>
      <c r="AK79" s="1294"/>
      <c r="AL79" s="1294"/>
      <c r="AM79" s="1294"/>
      <c r="AN79" s="1294"/>
      <c r="AO79" s="1294"/>
      <c r="AP79" s="1294"/>
      <c r="AQ79" s="1294"/>
      <c r="AR79" s="1294">
        <f t="shared" si="77"/>
        <v>0</v>
      </c>
      <c r="AS79" s="1135"/>
      <c r="AT79" s="668">
        <f t="shared" si="94"/>
        <v>0</v>
      </c>
      <c r="AU79" s="668"/>
      <c r="AV79" s="343">
        <f t="shared" ref="AV79:AV98" si="98">T79+U79+V79-W79</f>
        <v>0</v>
      </c>
      <c r="AW79" s="343">
        <f t="shared" si="95"/>
        <v>0</v>
      </c>
      <c r="AX79" s="668"/>
      <c r="AY79" s="668"/>
      <c r="AZ79" s="668"/>
      <c r="BA79" s="668"/>
      <c r="BB79" s="668"/>
      <c r="BC79" s="437">
        <f>T79+U79+V79+-W79</f>
        <v>0</v>
      </c>
      <c r="BD79" s="437"/>
      <c r="BE79" s="289" t="e">
        <f t="shared" si="96"/>
        <v>#DIV/0!</v>
      </c>
      <c r="BF79" s="437" t="e">
        <f t="shared" si="97"/>
        <v>#DIV/0!</v>
      </c>
    </row>
    <row r="80" spans="1:60" ht="39" customHeight="1">
      <c r="A80" s="1376"/>
      <c r="B80" s="1377"/>
      <c r="C80" s="1377"/>
      <c r="D80" s="1383" t="s">
        <v>319</v>
      </c>
      <c r="E80" s="1383" t="s">
        <v>206</v>
      </c>
      <c r="F80" s="1802"/>
      <c r="G80" s="1847" t="s">
        <v>673</v>
      </c>
      <c r="H80" s="1599" t="e">
        <f>SUM(H81,H89,H91,#REF!)</f>
        <v>#REF!</v>
      </c>
      <c r="I80" s="1599"/>
      <c r="J80" s="1599"/>
      <c r="K80" s="1381" t="e">
        <f>SUM(K81,K89,K91,#REF!)</f>
        <v>#REF!</v>
      </c>
      <c r="L80" s="1634">
        <f>SUM(L81,L89,L91,)</f>
        <v>104640</v>
      </c>
      <c r="M80" s="1321"/>
      <c r="N80" s="1322"/>
      <c r="O80" s="1336">
        <f>SUM(O81,O89,O91,)</f>
        <v>104640</v>
      </c>
      <c r="P80" s="1634">
        <f>SUM(P81+P89+P91)</f>
        <v>12450</v>
      </c>
      <c r="Q80" s="1321"/>
      <c r="R80" s="1322"/>
      <c r="S80" s="1336">
        <f>SUM(S81+S89+S91)</f>
        <v>11450</v>
      </c>
      <c r="T80" s="1634">
        <f>SUM(T81,T89,T91)</f>
        <v>106850</v>
      </c>
      <c r="U80" s="1321"/>
      <c r="V80" s="1322"/>
      <c r="W80" s="1316">
        <f>SUM(W81,W89,W91)</f>
        <v>106850</v>
      </c>
      <c r="X80" s="1578">
        <f t="shared" si="82"/>
        <v>102.11200305810397</v>
      </c>
      <c r="Y80" s="2457"/>
      <c r="Z80" s="1136"/>
      <c r="AA80" s="1136"/>
      <c r="AB80" s="1293">
        <f t="shared" si="74"/>
        <v>0</v>
      </c>
      <c r="AC80" s="1293">
        <f t="shared" si="78"/>
        <v>0</v>
      </c>
      <c r="AD80" s="1293">
        <f t="shared" si="83"/>
        <v>2210</v>
      </c>
      <c r="AE80" s="1293">
        <f t="shared" si="75"/>
        <v>0</v>
      </c>
      <c r="AF80" s="1294"/>
      <c r="AG80" s="1294"/>
      <c r="AH80" s="1294">
        <f t="shared" si="76"/>
        <v>2210</v>
      </c>
      <c r="AI80" s="1294">
        <f t="shared" si="79"/>
        <v>0</v>
      </c>
      <c r="AJ80" s="1293">
        <f t="shared" si="84"/>
        <v>0</v>
      </c>
      <c r="AK80" s="1294"/>
      <c r="AL80" s="1294"/>
      <c r="AM80" s="1294"/>
      <c r="AN80" s="1294"/>
      <c r="AO80" s="1294"/>
      <c r="AP80" s="1294"/>
      <c r="AQ80" s="1294"/>
      <c r="AR80" s="1294">
        <f t="shared" si="77"/>
        <v>0</v>
      </c>
      <c r="AS80" s="1136"/>
      <c r="AT80" s="668">
        <f t="shared" si="94"/>
        <v>0</v>
      </c>
      <c r="AU80" s="463"/>
      <c r="AV80" s="468">
        <f t="shared" si="98"/>
        <v>0</v>
      </c>
      <c r="AW80" s="468">
        <f t="shared" si="95"/>
        <v>106850</v>
      </c>
      <c r="AX80" s="463"/>
      <c r="AY80" s="463"/>
      <c r="AZ80" s="463"/>
      <c r="BA80" s="463"/>
      <c r="BB80" s="463"/>
      <c r="BC80" s="437">
        <f>'[2]PRIH REBALANS'!$AK$421</f>
        <v>104640</v>
      </c>
      <c r="BD80" s="437"/>
      <c r="BE80">
        <f t="shared" si="96"/>
        <v>102.11200305810397</v>
      </c>
      <c r="BF80" s="437">
        <f t="shared" si="97"/>
        <v>0</v>
      </c>
    </row>
    <row r="81" spans="1:59" ht="39" customHeight="1">
      <c r="A81" s="1376"/>
      <c r="B81" s="1377"/>
      <c r="C81" s="1377"/>
      <c r="D81" s="1383" t="s">
        <v>554</v>
      </c>
      <c r="E81" s="1383" t="s">
        <v>206</v>
      </c>
      <c r="F81" s="1802">
        <v>611000</v>
      </c>
      <c r="G81" s="1836" t="s">
        <v>693</v>
      </c>
      <c r="H81" s="1599">
        <f>SUM(H82,H85)</f>
        <v>0</v>
      </c>
      <c r="I81" s="1599">
        <f>SUM(I82:I83)</f>
        <v>0</v>
      </c>
      <c r="J81" s="1599">
        <f>SUM(J82:J83)</f>
        <v>0</v>
      </c>
      <c r="K81" s="1381">
        <f>SUM(K82,K85)</f>
        <v>0</v>
      </c>
      <c r="L81" s="1634">
        <f>SUM(L82,L85)</f>
        <v>85190</v>
      </c>
      <c r="M81" s="1321">
        <f>SUM(M82:M83)</f>
        <v>0</v>
      </c>
      <c r="N81" s="1322">
        <f>SUM(N82:N83)</f>
        <v>0</v>
      </c>
      <c r="O81" s="1336">
        <f>SUM(O82,O85)</f>
        <v>85190</v>
      </c>
      <c r="P81" s="1634">
        <f>SUM(P82+P85)</f>
        <v>0</v>
      </c>
      <c r="Q81" s="1321"/>
      <c r="R81" s="1322"/>
      <c r="S81" s="1336">
        <f>SUM(S82+S85)</f>
        <v>0</v>
      </c>
      <c r="T81" s="1634">
        <f>SUM(T82,T85)</f>
        <v>85300</v>
      </c>
      <c r="U81" s="1321"/>
      <c r="V81" s="1322"/>
      <c r="W81" s="1316">
        <f>SUM(W82,W85)</f>
        <v>85300</v>
      </c>
      <c r="X81" s="1578">
        <f t="shared" si="82"/>
        <v>100.12912313651836</v>
      </c>
      <c r="Y81" s="2457"/>
      <c r="Z81" s="1136"/>
      <c r="AA81" s="1136"/>
      <c r="AB81" s="1293">
        <f t="shared" si="74"/>
        <v>0</v>
      </c>
      <c r="AC81" s="1293">
        <f t="shared" si="78"/>
        <v>0</v>
      </c>
      <c r="AD81" s="1293">
        <f t="shared" si="83"/>
        <v>110</v>
      </c>
      <c r="AE81" s="1293">
        <f t="shared" si="75"/>
        <v>0</v>
      </c>
      <c r="AF81" s="1294"/>
      <c r="AG81" s="1294"/>
      <c r="AH81" s="1294">
        <f t="shared" si="76"/>
        <v>110</v>
      </c>
      <c r="AI81" s="1294">
        <f t="shared" si="79"/>
        <v>0</v>
      </c>
      <c r="AJ81" s="1293">
        <f t="shared" si="84"/>
        <v>0</v>
      </c>
      <c r="AK81" s="1294"/>
      <c r="AL81" s="1294"/>
      <c r="AM81" s="1294"/>
      <c r="AN81" s="1294"/>
      <c r="AO81" s="1294"/>
      <c r="AP81" s="1294"/>
      <c r="AQ81" s="1294"/>
      <c r="AR81" s="1294">
        <f t="shared" si="77"/>
        <v>0</v>
      </c>
      <c r="AS81" s="1136"/>
      <c r="AT81" s="668">
        <f t="shared" si="94"/>
        <v>0</v>
      </c>
      <c r="AU81" s="463"/>
      <c r="AV81" s="468">
        <f t="shared" si="98"/>
        <v>0</v>
      </c>
      <c r="AW81" s="468">
        <f t="shared" si="95"/>
        <v>85300</v>
      </c>
      <c r="AX81" s="463"/>
      <c r="AY81" s="463"/>
      <c r="AZ81" s="463"/>
      <c r="BA81" s="463"/>
      <c r="BB81" s="463"/>
      <c r="BC81" s="437">
        <f>T81+U81+V81+-W81</f>
        <v>0</v>
      </c>
      <c r="BD81" s="437"/>
      <c r="BE81">
        <f t="shared" si="96"/>
        <v>100.12912313651836</v>
      </c>
      <c r="BF81" s="437">
        <f t="shared" si="97"/>
        <v>0</v>
      </c>
    </row>
    <row r="82" spans="1:59" ht="39" customHeight="1">
      <c r="A82" s="1376"/>
      <c r="B82" s="1377"/>
      <c r="C82" s="1377"/>
      <c r="D82" s="1383" t="s">
        <v>1563</v>
      </c>
      <c r="E82" s="1383"/>
      <c r="F82" s="1802" t="s">
        <v>166</v>
      </c>
      <c r="G82" s="1848" t="s">
        <v>657</v>
      </c>
      <c r="H82" s="1599">
        <f>SUM(H83:H84)</f>
        <v>0</v>
      </c>
      <c r="I82" s="1599">
        <f>SUM(I83:I84)</f>
        <v>0</v>
      </c>
      <c r="J82" s="1599">
        <f>SUM(J83:J84)</f>
        <v>0</v>
      </c>
      <c r="K82" s="1381">
        <f t="shared" ref="K82:K90" si="99">SUM(H82:J82)</f>
        <v>0</v>
      </c>
      <c r="L82" s="1634">
        <f>SUM(L83:L84)</f>
        <v>78000</v>
      </c>
      <c r="M82" s="1321">
        <f>SUM(M83:M84)</f>
        <v>0</v>
      </c>
      <c r="N82" s="1322">
        <f>SUM(N83:N84)</f>
        <v>0</v>
      </c>
      <c r="O82" s="1336">
        <f t="shared" ref="O82:O88" si="100">SUM(L82:N82)</f>
        <v>78000</v>
      </c>
      <c r="P82" s="1634">
        <f>SUM(P83:P84)</f>
        <v>0</v>
      </c>
      <c r="Q82" s="1321"/>
      <c r="R82" s="1322"/>
      <c r="S82" s="1336">
        <f>SUM(S83:S84)</f>
        <v>0</v>
      </c>
      <c r="T82" s="1634">
        <f>SUM(T83:T84)</f>
        <v>78000</v>
      </c>
      <c r="U82" s="1321"/>
      <c r="V82" s="1322"/>
      <c r="W82" s="1316">
        <f>SUM(W83:W84)</f>
        <v>78000</v>
      </c>
      <c r="X82" s="1578">
        <f t="shared" si="82"/>
        <v>100</v>
      </c>
      <c r="Y82" s="2457"/>
      <c r="Z82" s="1136"/>
      <c r="AA82" s="1136">
        <f>'[9]PRIH REBALANS'!$AK$401</f>
        <v>106850</v>
      </c>
      <c r="AB82" s="1293">
        <f t="shared" si="74"/>
        <v>0</v>
      </c>
      <c r="AC82" s="1293">
        <f t="shared" si="78"/>
        <v>0</v>
      </c>
      <c r="AD82" s="1293">
        <f t="shared" si="83"/>
        <v>0</v>
      </c>
      <c r="AE82" s="1293">
        <f t="shared" si="75"/>
        <v>0</v>
      </c>
      <c r="AF82" s="1294"/>
      <c r="AG82" s="1294"/>
      <c r="AH82" s="1294">
        <f t="shared" si="76"/>
        <v>0</v>
      </c>
      <c r="AI82" s="1294">
        <f t="shared" si="79"/>
        <v>0</v>
      </c>
      <c r="AJ82" s="1293">
        <f t="shared" si="84"/>
        <v>0</v>
      </c>
      <c r="AK82" s="1294"/>
      <c r="AL82" s="1294"/>
      <c r="AM82" s="1294"/>
      <c r="AN82" s="1294"/>
      <c r="AO82" s="1294"/>
      <c r="AP82" s="1294"/>
      <c r="AQ82" s="1294"/>
      <c r="AR82" s="1294">
        <f t="shared" si="77"/>
        <v>0</v>
      </c>
      <c r="AS82" s="1136">
        <f>SUM(W83:W84)</f>
        <v>78000</v>
      </c>
      <c r="AT82" s="668">
        <f t="shared" si="94"/>
        <v>0</v>
      </c>
      <c r="AU82" s="463">
        <f>SUM(W83:W84)</f>
        <v>78000</v>
      </c>
      <c r="AV82" s="468">
        <f t="shared" si="98"/>
        <v>0</v>
      </c>
      <c r="AW82" s="468">
        <f t="shared" si="95"/>
        <v>78000</v>
      </c>
      <c r="AX82" s="463"/>
      <c r="AY82" s="463"/>
      <c r="AZ82" s="463"/>
      <c r="BA82" s="463"/>
      <c r="BB82" s="463"/>
      <c r="BC82" s="437">
        <f>'[2]PRIH REBALANS'!$AK$423</f>
        <v>78000</v>
      </c>
      <c r="BD82" s="437"/>
      <c r="BE82">
        <f t="shared" si="96"/>
        <v>100</v>
      </c>
      <c r="BF82" s="437">
        <f t="shared" si="97"/>
        <v>0</v>
      </c>
      <c r="BG82" s="209">
        <f>SUM(W83:W84)</f>
        <v>78000</v>
      </c>
    </row>
    <row r="83" spans="1:59" ht="39" customHeight="1">
      <c r="A83" s="1376"/>
      <c r="B83" s="1377"/>
      <c r="C83" s="1377"/>
      <c r="D83" s="1383" t="s">
        <v>1564</v>
      </c>
      <c r="E83" s="1383"/>
      <c r="F83" s="1805" t="s">
        <v>209</v>
      </c>
      <c r="G83" s="1845" t="s">
        <v>676</v>
      </c>
      <c r="H83" s="1385"/>
      <c r="I83" s="1385"/>
      <c r="J83" s="1385"/>
      <c r="K83" s="1374">
        <f t="shared" si="99"/>
        <v>0</v>
      </c>
      <c r="L83" s="1623">
        <v>50000</v>
      </c>
      <c r="M83" s="1305"/>
      <c r="N83" s="1306"/>
      <c r="O83" s="1375">
        <f t="shared" si="100"/>
        <v>50000</v>
      </c>
      <c r="P83" s="1623"/>
      <c r="Q83" s="1305"/>
      <c r="R83" s="1306"/>
      <c r="S83" s="1375">
        <f t="shared" ref="S83:S84" si="101">SUM(P83:R83)</f>
        <v>0</v>
      </c>
      <c r="T83" s="1623">
        <v>50000</v>
      </c>
      <c r="U83" s="1305"/>
      <c r="V83" s="1306"/>
      <c r="W83" s="1375">
        <f t="shared" ref="W83:W84" si="102">SUM(T83:V83)</f>
        <v>50000</v>
      </c>
      <c r="X83" s="1578">
        <f t="shared" si="82"/>
        <v>100</v>
      </c>
      <c r="Y83" s="2457"/>
      <c r="Z83" s="1136"/>
      <c r="AA83" s="1136"/>
      <c r="AB83" s="1293">
        <f t="shared" si="74"/>
        <v>0</v>
      </c>
      <c r="AC83" s="1293">
        <f t="shared" si="78"/>
        <v>0</v>
      </c>
      <c r="AD83" s="1293">
        <f t="shared" si="83"/>
        <v>0</v>
      </c>
      <c r="AE83" s="1293">
        <f t="shared" si="75"/>
        <v>0</v>
      </c>
      <c r="AF83" s="1294"/>
      <c r="AG83" s="1294"/>
      <c r="AH83" s="1294">
        <f t="shared" si="76"/>
        <v>0</v>
      </c>
      <c r="AI83" s="1294">
        <f t="shared" si="79"/>
        <v>0</v>
      </c>
      <c r="AJ83" s="1293">
        <f t="shared" si="84"/>
        <v>0</v>
      </c>
      <c r="AK83" s="1294"/>
      <c r="AL83" s="1294"/>
      <c r="AM83" s="1294"/>
      <c r="AN83" s="1294"/>
      <c r="AO83" s="1294"/>
      <c r="AP83" s="1294"/>
      <c r="AQ83" s="1294"/>
      <c r="AR83" s="1294">
        <f t="shared" si="77"/>
        <v>0</v>
      </c>
      <c r="AS83" s="1136"/>
      <c r="AT83" s="668">
        <f t="shared" si="94"/>
        <v>0</v>
      </c>
      <c r="AU83" s="463"/>
      <c r="AV83" s="468">
        <f t="shared" si="98"/>
        <v>0</v>
      </c>
      <c r="AW83" s="468">
        <f t="shared" si="95"/>
        <v>50000</v>
      </c>
      <c r="AX83" s="272"/>
      <c r="AY83" s="272"/>
      <c r="AZ83" s="272"/>
      <c r="BA83" s="272"/>
      <c r="BB83" s="272"/>
      <c r="BC83" s="437">
        <f>T83+U83+V83+-W83</f>
        <v>0</v>
      </c>
      <c r="BD83" s="437"/>
      <c r="BE83">
        <f t="shared" si="96"/>
        <v>100</v>
      </c>
      <c r="BF83" s="437">
        <f t="shared" si="97"/>
        <v>0</v>
      </c>
    </row>
    <row r="84" spans="1:59" ht="39" customHeight="1">
      <c r="A84" s="1376"/>
      <c r="B84" s="1377"/>
      <c r="C84" s="1377"/>
      <c r="D84" s="1383" t="s">
        <v>1565</v>
      </c>
      <c r="E84" s="1383"/>
      <c r="F84" s="1805" t="s">
        <v>211</v>
      </c>
      <c r="G84" s="1849" t="s">
        <v>659</v>
      </c>
      <c r="H84" s="1385"/>
      <c r="I84" s="1599"/>
      <c r="J84" s="1599"/>
      <c r="K84" s="1374">
        <f t="shared" si="99"/>
        <v>0</v>
      </c>
      <c r="L84" s="1623">
        <v>28000</v>
      </c>
      <c r="M84" s="1321"/>
      <c r="N84" s="1322"/>
      <c r="O84" s="1375">
        <f t="shared" si="100"/>
        <v>28000</v>
      </c>
      <c r="P84" s="1623"/>
      <c r="Q84" s="1321"/>
      <c r="R84" s="1322"/>
      <c r="S84" s="1375">
        <f t="shared" si="101"/>
        <v>0</v>
      </c>
      <c r="T84" s="1623">
        <v>28000</v>
      </c>
      <c r="U84" s="1321"/>
      <c r="V84" s="1322"/>
      <c r="W84" s="1375">
        <f t="shared" si="102"/>
        <v>28000</v>
      </c>
      <c r="X84" s="1578">
        <f t="shared" si="82"/>
        <v>100</v>
      </c>
      <c r="Y84" s="2457"/>
      <c r="Z84" s="1136"/>
      <c r="AA84" s="1136"/>
      <c r="AB84" s="1293">
        <f t="shared" si="74"/>
        <v>0</v>
      </c>
      <c r="AC84" s="1293">
        <f t="shared" si="78"/>
        <v>0</v>
      </c>
      <c r="AD84" s="1293">
        <f t="shared" si="83"/>
        <v>0</v>
      </c>
      <c r="AE84" s="1293">
        <f t="shared" si="75"/>
        <v>0</v>
      </c>
      <c r="AF84" s="1294"/>
      <c r="AG84" s="1294"/>
      <c r="AH84" s="1294">
        <f t="shared" si="76"/>
        <v>0</v>
      </c>
      <c r="AI84" s="1294">
        <f t="shared" si="79"/>
        <v>0</v>
      </c>
      <c r="AJ84" s="1293">
        <f t="shared" si="84"/>
        <v>0</v>
      </c>
      <c r="AK84" s="1294"/>
      <c r="AL84" s="1294"/>
      <c r="AM84" s="1294"/>
      <c r="AN84" s="1294"/>
      <c r="AO84" s="1294"/>
      <c r="AP84" s="1294"/>
      <c r="AQ84" s="1294"/>
      <c r="AR84" s="1294">
        <f t="shared" si="77"/>
        <v>0</v>
      </c>
      <c r="AS84" s="1136"/>
      <c r="AT84" s="668">
        <f t="shared" si="94"/>
        <v>0</v>
      </c>
      <c r="AU84" s="463"/>
      <c r="AV84" s="468">
        <f t="shared" si="98"/>
        <v>0</v>
      </c>
      <c r="AW84" s="468">
        <f t="shared" si="95"/>
        <v>28000</v>
      </c>
      <c r="AX84" s="272"/>
      <c r="AY84" s="272"/>
      <c r="AZ84" s="272"/>
      <c r="BA84" s="272"/>
      <c r="BB84" s="272"/>
      <c r="BC84" s="437">
        <f>T84+U84+V84+-W84</f>
        <v>0</v>
      </c>
      <c r="BD84" s="437"/>
      <c r="BE84">
        <f t="shared" si="96"/>
        <v>100</v>
      </c>
      <c r="BF84" s="437">
        <f t="shared" si="97"/>
        <v>0</v>
      </c>
    </row>
    <row r="85" spans="1:59" ht="39" customHeight="1">
      <c r="A85" s="1376"/>
      <c r="B85" s="1377"/>
      <c r="C85" s="1377"/>
      <c r="D85" s="1383" t="s">
        <v>1568</v>
      </c>
      <c r="E85" s="1383"/>
      <c r="F85" s="1802">
        <v>611200</v>
      </c>
      <c r="G85" s="1848" t="s">
        <v>213</v>
      </c>
      <c r="H85" s="1380">
        <f>SUM(H86:H88)</f>
        <v>0</v>
      </c>
      <c r="I85" s="1380">
        <f>SUM(I86:I88)</f>
        <v>0</v>
      </c>
      <c r="J85" s="1380">
        <f>SUM(J86:J88)</f>
        <v>0</v>
      </c>
      <c r="K85" s="1381">
        <f t="shared" si="99"/>
        <v>0</v>
      </c>
      <c r="L85" s="1601">
        <f>SUM(L86:L88)</f>
        <v>7190</v>
      </c>
      <c r="M85" s="1303">
        <f>SUM(M86:M88)</f>
        <v>0</v>
      </c>
      <c r="N85" s="1304">
        <f>SUM(N86:N88)</f>
        <v>0</v>
      </c>
      <c r="O85" s="1336">
        <f t="shared" si="100"/>
        <v>7190</v>
      </c>
      <c r="P85" s="1601">
        <f>SUM(P86:P88)</f>
        <v>0</v>
      </c>
      <c r="Q85" s="1303"/>
      <c r="R85" s="1304"/>
      <c r="S85" s="1336">
        <f>SUM(S86:S88)</f>
        <v>0</v>
      </c>
      <c r="T85" s="1601">
        <f>SUM(T86:T88)</f>
        <v>7300</v>
      </c>
      <c r="U85" s="1303"/>
      <c r="V85" s="1304"/>
      <c r="W85" s="1316">
        <f>SUM(W86:W88)</f>
        <v>7300</v>
      </c>
      <c r="X85" s="1578">
        <f t="shared" si="82"/>
        <v>101.52990264255909</v>
      </c>
      <c r="Y85" s="2457"/>
      <c r="Z85" s="1136"/>
      <c r="AA85" s="1136">
        <f>'[9]PRIH REBALANS'!$AK$404</f>
        <v>78000</v>
      </c>
      <c r="AB85" s="1293">
        <f t="shared" si="74"/>
        <v>0</v>
      </c>
      <c r="AC85" s="1293">
        <f t="shared" si="78"/>
        <v>0</v>
      </c>
      <c r="AD85" s="1293">
        <f t="shared" si="83"/>
        <v>110</v>
      </c>
      <c r="AE85" s="1293">
        <f t="shared" si="75"/>
        <v>0</v>
      </c>
      <c r="AF85" s="1294"/>
      <c r="AG85" s="1294"/>
      <c r="AH85" s="1294">
        <f t="shared" si="76"/>
        <v>110</v>
      </c>
      <c r="AI85" s="1294">
        <f t="shared" si="79"/>
        <v>0</v>
      </c>
      <c r="AJ85" s="1293">
        <f t="shared" si="84"/>
        <v>0</v>
      </c>
      <c r="AK85" s="1294"/>
      <c r="AL85" s="1294"/>
      <c r="AM85" s="1294"/>
      <c r="AN85" s="1294"/>
      <c r="AO85" s="1294"/>
      <c r="AP85" s="1294"/>
      <c r="AQ85" s="1294"/>
      <c r="AR85" s="1294">
        <f t="shared" si="77"/>
        <v>0</v>
      </c>
      <c r="AS85" s="1136">
        <f>SUM(W86:W88)</f>
        <v>7300</v>
      </c>
      <c r="AT85" s="668">
        <f t="shared" si="94"/>
        <v>0</v>
      </c>
      <c r="AU85" s="463">
        <f>SUM(W86:W88)</f>
        <v>7300</v>
      </c>
      <c r="AV85" s="468">
        <f t="shared" si="98"/>
        <v>0</v>
      </c>
      <c r="AW85" s="468">
        <f t="shared" si="95"/>
        <v>7300</v>
      </c>
      <c r="AX85" s="463"/>
      <c r="AY85" s="463"/>
      <c r="AZ85" s="463"/>
      <c r="BA85" s="463"/>
      <c r="BB85" s="463"/>
      <c r="BC85" s="437">
        <f>'[2]PRIH REBALANS'!$AK$426</f>
        <v>7190</v>
      </c>
      <c r="BD85" s="437"/>
      <c r="BE85">
        <f t="shared" si="96"/>
        <v>101.52990264255909</v>
      </c>
      <c r="BF85" s="437">
        <f t="shared" si="97"/>
        <v>0</v>
      </c>
      <c r="BG85" s="209">
        <f>SUM(W86:W88)</f>
        <v>7300</v>
      </c>
    </row>
    <row r="86" spans="1:59" ht="39" customHeight="1">
      <c r="A86" s="1376"/>
      <c r="B86" s="1377"/>
      <c r="C86" s="1377"/>
      <c r="D86" s="1383" t="s">
        <v>1569</v>
      </c>
      <c r="E86" s="1383"/>
      <c r="F86" s="1805">
        <v>611211</v>
      </c>
      <c r="G86" s="1849" t="s">
        <v>660</v>
      </c>
      <c r="H86" s="1575"/>
      <c r="I86" s="1385"/>
      <c r="J86" s="1385"/>
      <c r="K86" s="1374">
        <f t="shared" si="99"/>
        <v>0</v>
      </c>
      <c r="L86" s="1577">
        <v>1300</v>
      </c>
      <c r="M86" s="1305"/>
      <c r="N86" s="1306"/>
      <c r="O86" s="1375">
        <f t="shared" si="100"/>
        <v>1300</v>
      </c>
      <c r="P86" s="1577"/>
      <c r="Q86" s="1305"/>
      <c r="R86" s="1306"/>
      <c r="S86" s="1375">
        <f t="shared" ref="S86:S88" si="103">SUM(P86:R86)</f>
        <v>0</v>
      </c>
      <c r="T86" s="1577">
        <v>1300</v>
      </c>
      <c r="U86" s="1305"/>
      <c r="V86" s="1306"/>
      <c r="W86" s="1375">
        <f t="shared" ref="W86:W88" si="104">SUM(T86:V86)</f>
        <v>1300</v>
      </c>
      <c r="X86" s="1578">
        <f t="shared" si="82"/>
        <v>100</v>
      </c>
      <c r="Y86" s="2457"/>
      <c r="Z86" s="1136"/>
      <c r="AA86" s="1136"/>
      <c r="AB86" s="1293">
        <f t="shared" si="74"/>
        <v>0</v>
      </c>
      <c r="AC86" s="1293">
        <f t="shared" si="78"/>
        <v>0</v>
      </c>
      <c r="AD86" s="1293">
        <f t="shared" si="83"/>
        <v>0</v>
      </c>
      <c r="AE86" s="1293">
        <f t="shared" si="75"/>
        <v>0</v>
      </c>
      <c r="AF86" s="1294"/>
      <c r="AG86" s="1294"/>
      <c r="AH86" s="1294">
        <f t="shared" si="76"/>
        <v>0</v>
      </c>
      <c r="AI86" s="1294">
        <f t="shared" si="79"/>
        <v>0</v>
      </c>
      <c r="AJ86" s="1293">
        <f t="shared" si="84"/>
        <v>0</v>
      </c>
      <c r="AK86" s="1294"/>
      <c r="AL86" s="1294"/>
      <c r="AM86" s="1294"/>
      <c r="AN86" s="1294"/>
      <c r="AO86" s="1294"/>
      <c r="AP86" s="1294"/>
      <c r="AQ86" s="1294"/>
      <c r="AR86" s="1294">
        <f t="shared" si="77"/>
        <v>0</v>
      </c>
      <c r="AS86" s="1136"/>
      <c r="AT86" s="668">
        <f t="shared" si="94"/>
        <v>0</v>
      </c>
      <c r="AU86" s="463"/>
      <c r="AV86" s="468">
        <f t="shared" si="98"/>
        <v>0</v>
      </c>
      <c r="AW86" s="468">
        <f t="shared" si="95"/>
        <v>1300</v>
      </c>
      <c r="AX86" s="272"/>
      <c r="AY86" s="272"/>
      <c r="AZ86" s="272"/>
      <c r="BA86" s="272"/>
      <c r="BB86" s="272"/>
      <c r="BC86" s="437">
        <f t="shared" ref="BC86:BC98" si="105">T86+U86+V86+-W86</f>
        <v>0</v>
      </c>
      <c r="BD86" s="437"/>
      <c r="BE86">
        <f t="shared" si="96"/>
        <v>100</v>
      </c>
      <c r="BF86" s="437">
        <f t="shared" si="97"/>
        <v>0</v>
      </c>
    </row>
    <row r="87" spans="1:59" ht="39" customHeight="1">
      <c r="A87" s="1376"/>
      <c r="B87" s="1377"/>
      <c r="C87" s="1377"/>
      <c r="D87" s="1383" t="s">
        <v>1570</v>
      </c>
      <c r="E87" s="1383"/>
      <c r="F87" s="1806">
        <v>611221</v>
      </c>
      <c r="G87" s="1845" t="s">
        <v>661</v>
      </c>
      <c r="H87" s="1575"/>
      <c r="I87" s="1385"/>
      <c r="J87" s="1385"/>
      <c r="K87" s="1374">
        <f t="shared" si="99"/>
        <v>0</v>
      </c>
      <c r="L87" s="1577">
        <v>4900</v>
      </c>
      <c r="M87" s="1305"/>
      <c r="N87" s="1306"/>
      <c r="O87" s="1375">
        <f t="shared" si="100"/>
        <v>4900</v>
      </c>
      <c r="P87" s="1577"/>
      <c r="Q87" s="1305"/>
      <c r="R87" s="1306"/>
      <c r="S87" s="1375">
        <f t="shared" si="103"/>
        <v>0</v>
      </c>
      <c r="T87" s="1577">
        <v>5000</v>
      </c>
      <c r="U87" s="1305"/>
      <c r="V87" s="1306"/>
      <c r="W87" s="1375">
        <f t="shared" si="104"/>
        <v>5000</v>
      </c>
      <c r="X87" s="1578">
        <f t="shared" si="82"/>
        <v>102.04081632653062</v>
      </c>
      <c r="Y87" s="2457"/>
      <c r="Z87" s="1136"/>
      <c r="AA87" s="1136"/>
      <c r="AB87" s="1293">
        <f t="shared" si="74"/>
        <v>0</v>
      </c>
      <c r="AC87" s="1293">
        <f t="shared" si="78"/>
        <v>0</v>
      </c>
      <c r="AD87" s="1293">
        <f t="shared" si="83"/>
        <v>100</v>
      </c>
      <c r="AE87" s="1293">
        <f t="shared" si="75"/>
        <v>0</v>
      </c>
      <c r="AF87" s="1294"/>
      <c r="AG87" s="1294"/>
      <c r="AH87" s="1294">
        <f t="shared" si="76"/>
        <v>100</v>
      </c>
      <c r="AI87" s="1294">
        <f t="shared" si="79"/>
        <v>0</v>
      </c>
      <c r="AJ87" s="1293">
        <f t="shared" si="84"/>
        <v>0</v>
      </c>
      <c r="AK87" s="1294"/>
      <c r="AL87" s="1294"/>
      <c r="AM87" s="1294"/>
      <c r="AN87" s="1294"/>
      <c r="AO87" s="1294"/>
      <c r="AP87" s="1294"/>
      <c r="AQ87" s="1294"/>
      <c r="AR87" s="1294">
        <f t="shared" si="77"/>
        <v>0</v>
      </c>
      <c r="AS87" s="1136"/>
      <c r="AT87" s="668">
        <f t="shared" si="94"/>
        <v>0</v>
      </c>
      <c r="AU87" s="463"/>
      <c r="AV87" s="468">
        <f t="shared" si="98"/>
        <v>0</v>
      </c>
      <c r="AW87" s="468">
        <f t="shared" si="95"/>
        <v>5000</v>
      </c>
      <c r="AX87" s="272"/>
      <c r="AY87" s="272"/>
      <c r="AZ87" s="272"/>
      <c r="BA87" s="272"/>
      <c r="BB87" s="272"/>
      <c r="BC87" s="437">
        <f t="shared" si="105"/>
        <v>0</v>
      </c>
      <c r="BD87" s="437"/>
      <c r="BE87">
        <f t="shared" si="96"/>
        <v>102.04081632653062</v>
      </c>
      <c r="BF87" s="437">
        <f t="shared" si="97"/>
        <v>0</v>
      </c>
    </row>
    <row r="88" spans="1:59" ht="39" customHeight="1">
      <c r="A88" s="1376"/>
      <c r="B88" s="1377"/>
      <c r="C88" s="1377"/>
      <c r="D88" s="1383" t="s">
        <v>1571</v>
      </c>
      <c r="E88" s="1383" t="s">
        <v>206</v>
      </c>
      <c r="F88" s="1806">
        <v>611224</v>
      </c>
      <c r="G88" s="1845" t="s">
        <v>214</v>
      </c>
      <c r="H88" s="1575"/>
      <c r="I88" s="1385"/>
      <c r="J88" s="1385"/>
      <c r="K88" s="1374">
        <f t="shared" si="99"/>
        <v>0</v>
      </c>
      <c r="L88" s="1577">
        <v>990</v>
      </c>
      <c r="M88" s="1305"/>
      <c r="N88" s="1306"/>
      <c r="O88" s="1375">
        <f t="shared" si="100"/>
        <v>990</v>
      </c>
      <c r="P88" s="1577"/>
      <c r="Q88" s="1305"/>
      <c r="R88" s="1306"/>
      <c r="S88" s="1375">
        <f t="shared" si="103"/>
        <v>0</v>
      </c>
      <c r="T88" s="1577">
        <v>1000</v>
      </c>
      <c r="U88" s="1305"/>
      <c r="V88" s="1306"/>
      <c r="W88" s="1375">
        <f t="shared" si="104"/>
        <v>1000</v>
      </c>
      <c r="X88" s="1578">
        <f t="shared" si="82"/>
        <v>101.01010101010101</v>
      </c>
      <c r="Y88" s="2457"/>
      <c r="Z88" s="1136"/>
      <c r="AA88" s="1136"/>
      <c r="AB88" s="1293">
        <f t="shared" si="74"/>
        <v>0</v>
      </c>
      <c r="AC88" s="1293">
        <f t="shared" si="78"/>
        <v>0</v>
      </c>
      <c r="AD88" s="1293">
        <f t="shared" si="83"/>
        <v>10</v>
      </c>
      <c r="AE88" s="1293">
        <f t="shared" si="75"/>
        <v>0</v>
      </c>
      <c r="AF88" s="1294"/>
      <c r="AG88" s="1294"/>
      <c r="AH88" s="1294">
        <f t="shared" si="76"/>
        <v>10</v>
      </c>
      <c r="AI88" s="1294">
        <f t="shared" si="79"/>
        <v>0</v>
      </c>
      <c r="AJ88" s="1293">
        <f t="shared" si="84"/>
        <v>0</v>
      </c>
      <c r="AK88" s="1294"/>
      <c r="AL88" s="1294"/>
      <c r="AM88" s="1294"/>
      <c r="AN88" s="1294"/>
      <c r="AO88" s="1294"/>
      <c r="AP88" s="1294"/>
      <c r="AQ88" s="1294"/>
      <c r="AR88" s="1294">
        <f t="shared" si="77"/>
        <v>0</v>
      </c>
      <c r="AS88" s="1136"/>
      <c r="AT88" s="668">
        <f t="shared" si="94"/>
        <v>0</v>
      </c>
      <c r="AU88" s="463"/>
      <c r="AV88" s="468">
        <f t="shared" si="98"/>
        <v>0</v>
      </c>
      <c r="AW88" s="468">
        <f t="shared" si="95"/>
        <v>1000</v>
      </c>
      <c r="AX88" s="272"/>
      <c r="AY88" s="272"/>
      <c r="AZ88" s="272"/>
      <c r="BA88" s="272"/>
      <c r="BB88" s="272"/>
      <c r="BC88" s="437">
        <f t="shared" si="105"/>
        <v>0</v>
      </c>
      <c r="BD88" s="437"/>
      <c r="BE88">
        <f t="shared" si="96"/>
        <v>101.01010101010101</v>
      </c>
      <c r="BF88" s="437">
        <f t="shared" si="97"/>
        <v>0</v>
      </c>
    </row>
    <row r="89" spans="1:59" ht="39" customHeight="1">
      <c r="A89" s="1376"/>
      <c r="B89" s="1377"/>
      <c r="C89" s="1377"/>
      <c r="D89" s="1383" t="s">
        <v>1572</v>
      </c>
      <c r="E89" s="1383"/>
      <c r="F89" s="1802">
        <v>612000</v>
      </c>
      <c r="G89" s="1848" t="s">
        <v>216</v>
      </c>
      <c r="H89" s="1380">
        <f>H90</f>
        <v>0</v>
      </c>
      <c r="I89" s="1380">
        <f>SUM(I90)</f>
        <v>0</v>
      </c>
      <c r="J89" s="1380">
        <f>SUM(J90)</f>
        <v>0</v>
      </c>
      <c r="K89" s="1381">
        <f t="shared" si="99"/>
        <v>0</v>
      </c>
      <c r="L89" s="1601">
        <v>8000</v>
      </c>
      <c r="M89" s="1303"/>
      <c r="N89" s="1304"/>
      <c r="O89" s="1336">
        <v>8000</v>
      </c>
      <c r="P89" s="1601">
        <f>SUM(P90)</f>
        <v>0</v>
      </c>
      <c r="Q89" s="1303"/>
      <c r="R89" s="1304"/>
      <c r="S89" s="1336">
        <f>SUM(S90)</f>
        <v>0</v>
      </c>
      <c r="T89" s="1601">
        <f>SUM(T90)</f>
        <v>8500</v>
      </c>
      <c r="U89" s="1303"/>
      <c r="V89" s="1304"/>
      <c r="W89" s="1316">
        <f>SUM(W90)</f>
        <v>8500</v>
      </c>
      <c r="X89" s="1578">
        <f t="shared" si="82"/>
        <v>106.25</v>
      </c>
      <c r="Y89" s="2457"/>
      <c r="Z89" s="1136"/>
      <c r="AA89" s="1136">
        <f>'[9]PRIH REBALANS'!$AK$411</f>
        <v>8500</v>
      </c>
      <c r="AB89" s="1293">
        <f t="shared" si="74"/>
        <v>0</v>
      </c>
      <c r="AC89" s="1293">
        <f t="shared" si="78"/>
        <v>0</v>
      </c>
      <c r="AD89" s="1293">
        <f t="shared" si="83"/>
        <v>500</v>
      </c>
      <c r="AE89" s="1293">
        <f t="shared" si="75"/>
        <v>0</v>
      </c>
      <c r="AF89" s="1294"/>
      <c r="AG89" s="1294"/>
      <c r="AH89" s="1294">
        <f t="shared" si="76"/>
        <v>500</v>
      </c>
      <c r="AI89" s="1294">
        <f t="shared" si="79"/>
        <v>0</v>
      </c>
      <c r="AJ89" s="1293">
        <f t="shared" si="84"/>
        <v>0</v>
      </c>
      <c r="AK89" s="1294"/>
      <c r="AL89" s="1294"/>
      <c r="AM89" s="1294"/>
      <c r="AN89" s="1294"/>
      <c r="AO89" s="1294"/>
      <c r="AP89" s="1294"/>
      <c r="AQ89" s="1294"/>
      <c r="AR89" s="1294">
        <f t="shared" si="77"/>
        <v>0</v>
      </c>
      <c r="AS89" s="1136">
        <f>SUM(W90)</f>
        <v>8500</v>
      </c>
      <c r="AT89" s="668">
        <f t="shared" si="94"/>
        <v>0</v>
      </c>
      <c r="AU89" s="463">
        <f>W90</f>
        <v>8500</v>
      </c>
      <c r="AV89" s="468">
        <f t="shared" si="98"/>
        <v>0</v>
      </c>
      <c r="AW89" s="468">
        <f t="shared" si="95"/>
        <v>8500</v>
      </c>
      <c r="AX89" s="463"/>
      <c r="AY89" s="463"/>
      <c r="AZ89" s="463"/>
      <c r="BA89" s="463"/>
      <c r="BB89" s="463"/>
      <c r="BC89" s="437">
        <f t="shared" si="105"/>
        <v>0</v>
      </c>
      <c r="BD89" s="437"/>
      <c r="BE89">
        <f t="shared" si="96"/>
        <v>106.25</v>
      </c>
      <c r="BF89" s="437">
        <f t="shared" si="97"/>
        <v>0</v>
      </c>
      <c r="BG89" s="209">
        <f>W90</f>
        <v>8500</v>
      </c>
    </row>
    <row r="90" spans="1:59" ht="39" customHeight="1">
      <c r="A90" s="1376"/>
      <c r="B90" s="1377"/>
      <c r="C90" s="1377"/>
      <c r="D90" s="1383" t="s">
        <v>1566</v>
      </c>
      <c r="E90" s="1383" t="s">
        <v>206</v>
      </c>
      <c r="F90" s="1805">
        <v>612110</v>
      </c>
      <c r="G90" s="1849" t="s">
        <v>217</v>
      </c>
      <c r="H90" s="1575"/>
      <c r="I90" s="1635"/>
      <c r="J90" s="1635"/>
      <c r="K90" s="1374">
        <f t="shared" si="99"/>
        <v>0</v>
      </c>
      <c r="L90" s="1577">
        <v>8000</v>
      </c>
      <c r="M90" s="1323"/>
      <c r="N90" s="1324"/>
      <c r="O90" s="1375">
        <f t="shared" ref="O90" si="106">SUM(L90:N90)</f>
        <v>8000</v>
      </c>
      <c r="P90" s="1577"/>
      <c r="Q90" s="1323"/>
      <c r="R90" s="1324"/>
      <c r="S90" s="1375">
        <f t="shared" ref="S90" si="107">SUM(P90:R90)</f>
        <v>0</v>
      </c>
      <c r="T90" s="1577">
        <v>8500</v>
      </c>
      <c r="U90" s="1323"/>
      <c r="V90" s="1324"/>
      <c r="W90" s="1375">
        <f t="shared" ref="W90" si="108">SUM(T90:V90)</f>
        <v>8500</v>
      </c>
      <c r="X90" s="1578">
        <f t="shared" si="82"/>
        <v>106.25</v>
      </c>
      <c r="Y90" s="2457"/>
      <c r="Z90" s="1136"/>
      <c r="AA90" s="1136"/>
      <c r="AB90" s="1293">
        <f t="shared" si="74"/>
        <v>0</v>
      </c>
      <c r="AC90" s="1293">
        <f t="shared" si="78"/>
        <v>0</v>
      </c>
      <c r="AD90" s="1293">
        <f t="shared" si="83"/>
        <v>500</v>
      </c>
      <c r="AE90" s="1293">
        <f t="shared" si="75"/>
        <v>0</v>
      </c>
      <c r="AF90" s="1294"/>
      <c r="AG90" s="1294"/>
      <c r="AH90" s="1294">
        <f t="shared" si="76"/>
        <v>500</v>
      </c>
      <c r="AI90" s="1294">
        <f t="shared" si="79"/>
        <v>0</v>
      </c>
      <c r="AJ90" s="1293">
        <f t="shared" si="84"/>
        <v>0</v>
      </c>
      <c r="AK90" s="1294"/>
      <c r="AL90" s="1294"/>
      <c r="AM90" s="1294"/>
      <c r="AN90" s="1294"/>
      <c r="AO90" s="1294"/>
      <c r="AP90" s="1294"/>
      <c r="AQ90" s="1294"/>
      <c r="AR90" s="1294">
        <f t="shared" si="77"/>
        <v>0</v>
      </c>
      <c r="AS90" s="1136"/>
      <c r="AT90" s="668">
        <f t="shared" si="94"/>
        <v>0</v>
      </c>
      <c r="AU90" s="463"/>
      <c r="AV90" s="468">
        <f t="shared" si="98"/>
        <v>0</v>
      </c>
      <c r="AW90" s="468">
        <f t="shared" si="95"/>
        <v>8500</v>
      </c>
      <c r="AX90" s="463"/>
      <c r="AY90" s="463"/>
      <c r="AZ90" s="463"/>
      <c r="BA90" s="463"/>
      <c r="BB90" s="463"/>
      <c r="BC90" s="437">
        <f t="shared" si="105"/>
        <v>0</v>
      </c>
      <c r="BD90" s="437"/>
      <c r="BE90">
        <f t="shared" si="96"/>
        <v>106.25</v>
      </c>
      <c r="BF90" s="437">
        <f t="shared" si="97"/>
        <v>0</v>
      </c>
    </row>
    <row r="91" spans="1:59" ht="39" customHeight="1">
      <c r="A91" s="1376"/>
      <c r="B91" s="1377"/>
      <c r="C91" s="1377"/>
      <c r="D91" s="1383" t="s">
        <v>1573</v>
      </c>
      <c r="E91" s="1613"/>
      <c r="F91" s="1802">
        <v>613000</v>
      </c>
      <c r="G91" s="1848" t="s">
        <v>169</v>
      </c>
      <c r="H91" s="1380">
        <f t="shared" ref="H91:O91" si="109">SUM(H92:H96)</f>
        <v>0</v>
      </c>
      <c r="I91" s="1380">
        <f t="shared" si="109"/>
        <v>0</v>
      </c>
      <c r="J91" s="1380">
        <f t="shared" si="109"/>
        <v>0</v>
      </c>
      <c r="K91" s="1381">
        <f t="shared" si="109"/>
        <v>0</v>
      </c>
      <c r="L91" s="1601">
        <f t="shared" si="109"/>
        <v>11450</v>
      </c>
      <c r="M91" s="1303">
        <f t="shared" si="109"/>
        <v>0</v>
      </c>
      <c r="N91" s="1304">
        <f t="shared" si="109"/>
        <v>0</v>
      </c>
      <c r="O91" s="1336">
        <f t="shared" si="109"/>
        <v>11450</v>
      </c>
      <c r="P91" s="1601">
        <f>SUM(P92:P96)</f>
        <v>12450</v>
      </c>
      <c r="Q91" s="1303"/>
      <c r="R91" s="1304"/>
      <c r="S91" s="1336">
        <f>SUM(S92:S96)</f>
        <v>11450</v>
      </c>
      <c r="T91" s="1601">
        <f>SUM(T92:T96)</f>
        <v>13050</v>
      </c>
      <c r="U91" s="1303"/>
      <c r="V91" s="1304"/>
      <c r="W91" s="1316">
        <f>SUM(W92:W96)</f>
        <v>13050</v>
      </c>
      <c r="X91" s="1578">
        <f t="shared" si="82"/>
        <v>113.97379912663756</v>
      </c>
      <c r="Y91" s="2457"/>
      <c r="Z91" s="1136"/>
      <c r="AA91" s="1136">
        <f>'[9]PRIH REBALANS'!$AK$413</f>
        <v>13050</v>
      </c>
      <c r="AB91" s="1293">
        <f t="shared" si="74"/>
        <v>0</v>
      </c>
      <c r="AC91" s="1293">
        <f t="shared" si="78"/>
        <v>0</v>
      </c>
      <c r="AD91" s="1293">
        <f t="shared" si="83"/>
        <v>1600</v>
      </c>
      <c r="AE91" s="1293">
        <f t="shared" si="75"/>
        <v>0</v>
      </c>
      <c r="AF91" s="1294"/>
      <c r="AG91" s="1294"/>
      <c r="AH91" s="1294">
        <f t="shared" si="76"/>
        <v>1600</v>
      </c>
      <c r="AI91" s="1294">
        <f t="shared" si="79"/>
        <v>0</v>
      </c>
      <c r="AJ91" s="1293">
        <f t="shared" si="84"/>
        <v>0</v>
      </c>
      <c r="AK91" s="1294"/>
      <c r="AL91" s="1294"/>
      <c r="AM91" s="1294"/>
      <c r="AN91" s="1294"/>
      <c r="AO91" s="1294"/>
      <c r="AP91" s="1294"/>
      <c r="AQ91" s="1294"/>
      <c r="AR91" s="1294">
        <f t="shared" si="77"/>
        <v>0</v>
      </c>
      <c r="AS91" s="1136">
        <f>SUM(W92:W96)</f>
        <v>13050</v>
      </c>
      <c r="AT91" s="668">
        <f t="shared" si="94"/>
        <v>0</v>
      </c>
      <c r="AU91" s="463">
        <f>SUM(W92:W96)</f>
        <v>13050</v>
      </c>
      <c r="AV91" s="468">
        <f t="shared" si="98"/>
        <v>0</v>
      </c>
      <c r="AW91" s="468">
        <f t="shared" si="95"/>
        <v>13050</v>
      </c>
      <c r="AX91" s="463"/>
      <c r="AY91" s="463"/>
      <c r="AZ91" s="463"/>
      <c r="BA91" s="463"/>
      <c r="BB91" s="463"/>
      <c r="BC91" s="437">
        <f t="shared" si="105"/>
        <v>0</v>
      </c>
      <c r="BD91" s="437"/>
      <c r="BE91">
        <f t="shared" si="96"/>
        <v>113.97379912663756</v>
      </c>
      <c r="BF91" s="437">
        <f t="shared" si="97"/>
        <v>0</v>
      </c>
      <c r="BG91" s="209">
        <f>SUM(W92:W96)</f>
        <v>13050</v>
      </c>
    </row>
    <row r="92" spans="1:59" ht="39" customHeight="1">
      <c r="A92" s="1376"/>
      <c r="B92" s="1377"/>
      <c r="C92" s="1377"/>
      <c r="D92" s="1383" t="s">
        <v>1574</v>
      </c>
      <c r="E92" s="1384"/>
      <c r="F92" s="1805">
        <v>613100</v>
      </c>
      <c r="G92" s="1849" t="s">
        <v>170</v>
      </c>
      <c r="H92" s="1575"/>
      <c r="I92" s="1386"/>
      <c r="J92" s="1386"/>
      <c r="K92" s="1374">
        <f>SUM(H92:J92)</f>
        <v>0</v>
      </c>
      <c r="L92" s="1577">
        <v>500</v>
      </c>
      <c r="M92" s="1307"/>
      <c r="N92" s="1308"/>
      <c r="O92" s="1375">
        <f t="shared" ref="O92:O95" si="110">SUM(L92:N92)</f>
        <v>500</v>
      </c>
      <c r="P92" s="1577">
        <v>500</v>
      </c>
      <c r="Q92" s="1307"/>
      <c r="R92" s="1308"/>
      <c r="S92" s="1375">
        <f t="shared" ref="S92:S95" si="111">SUM(P92:R92)</f>
        <v>500</v>
      </c>
      <c r="T92" s="1577">
        <v>500</v>
      </c>
      <c r="U92" s="1307"/>
      <c r="V92" s="1308"/>
      <c r="W92" s="1375">
        <f t="shared" ref="W92:W95" si="112">SUM(T92:V92)</f>
        <v>500</v>
      </c>
      <c r="X92" s="1578">
        <f t="shared" si="82"/>
        <v>100</v>
      </c>
      <c r="Y92" s="2457"/>
      <c r="Z92" s="1136"/>
      <c r="AA92" s="1136"/>
      <c r="AB92" s="1293">
        <f t="shared" si="74"/>
        <v>0</v>
      </c>
      <c r="AC92" s="1293">
        <f t="shared" si="78"/>
        <v>0</v>
      </c>
      <c r="AD92" s="1293">
        <f t="shared" si="83"/>
        <v>0</v>
      </c>
      <c r="AE92" s="1293">
        <f t="shared" si="75"/>
        <v>0</v>
      </c>
      <c r="AF92" s="1294"/>
      <c r="AG92" s="1294"/>
      <c r="AH92" s="1294">
        <f t="shared" si="76"/>
        <v>0</v>
      </c>
      <c r="AI92" s="1294">
        <f t="shared" si="79"/>
        <v>0</v>
      </c>
      <c r="AJ92" s="1293">
        <f t="shared" si="84"/>
        <v>0</v>
      </c>
      <c r="AK92" s="1294"/>
      <c r="AL92" s="1294"/>
      <c r="AM92" s="1294"/>
      <c r="AN92" s="1294"/>
      <c r="AO92" s="1294"/>
      <c r="AP92" s="1294"/>
      <c r="AQ92" s="1294"/>
      <c r="AR92" s="1294">
        <f t="shared" si="77"/>
        <v>0</v>
      </c>
      <c r="AS92" s="1136"/>
      <c r="AT92" s="668">
        <f t="shared" si="94"/>
        <v>0</v>
      </c>
      <c r="AU92" s="463"/>
      <c r="AV92" s="468">
        <f t="shared" si="98"/>
        <v>0</v>
      </c>
      <c r="AW92" s="468">
        <f t="shared" si="95"/>
        <v>500</v>
      </c>
      <c r="AX92" s="463"/>
      <c r="AY92" s="463"/>
      <c r="AZ92" s="463"/>
      <c r="BA92" s="463"/>
      <c r="BB92" s="463"/>
      <c r="BC92" s="437">
        <f t="shared" si="105"/>
        <v>0</v>
      </c>
      <c r="BD92" s="437"/>
      <c r="BE92">
        <f t="shared" si="96"/>
        <v>100</v>
      </c>
      <c r="BF92" s="437">
        <f t="shared" si="97"/>
        <v>0</v>
      </c>
    </row>
    <row r="93" spans="1:59" ht="39" customHeight="1">
      <c r="A93" s="1376"/>
      <c r="B93" s="1377"/>
      <c r="C93" s="1377"/>
      <c r="D93" s="1383" t="s">
        <v>1576</v>
      </c>
      <c r="E93" s="1384"/>
      <c r="F93" s="1805">
        <v>613300</v>
      </c>
      <c r="G93" s="1849" t="s">
        <v>262</v>
      </c>
      <c r="H93" s="1575"/>
      <c r="I93" s="1386"/>
      <c r="J93" s="1386"/>
      <c r="K93" s="1374">
        <f>SUM(H93:J93)</f>
        <v>0</v>
      </c>
      <c r="L93" s="1577">
        <v>1500</v>
      </c>
      <c r="M93" s="1307"/>
      <c r="N93" s="1308"/>
      <c r="O93" s="1375">
        <f t="shared" si="110"/>
        <v>1500</v>
      </c>
      <c r="P93" s="1577">
        <v>1500</v>
      </c>
      <c r="Q93" s="1307"/>
      <c r="R93" s="1308"/>
      <c r="S93" s="1375">
        <f t="shared" si="111"/>
        <v>1500</v>
      </c>
      <c r="T93" s="1577">
        <v>1500</v>
      </c>
      <c r="U93" s="1307"/>
      <c r="V93" s="1308"/>
      <c r="W93" s="1375">
        <f t="shared" si="112"/>
        <v>1500</v>
      </c>
      <c r="X93" s="1578">
        <f t="shared" si="82"/>
        <v>100</v>
      </c>
      <c r="Y93" s="2457"/>
      <c r="Z93" s="1136"/>
      <c r="AA93" s="1136"/>
      <c r="AB93" s="1293">
        <f t="shared" si="74"/>
        <v>0</v>
      </c>
      <c r="AC93" s="1293">
        <f t="shared" si="78"/>
        <v>0</v>
      </c>
      <c r="AD93" s="1293">
        <f t="shared" si="83"/>
        <v>0</v>
      </c>
      <c r="AE93" s="1293">
        <f t="shared" si="75"/>
        <v>0</v>
      </c>
      <c r="AF93" s="1294"/>
      <c r="AG93" s="1294"/>
      <c r="AH93" s="1294">
        <f t="shared" si="76"/>
        <v>0</v>
      </c>
      <c r="AI93" s="1294">
        <f t="shared" si="79"/>
        <v>0</v>
      </c>
      <c r="AJ93" s="1293">
        <f t="shared" si="84"/>
        <v>0</v>
      </c>
      <c r="AK93" s="1294"/>
      <c r="AL93" s="1294"/>
      <c r="AM93" s="1294"/>
      <c r="AN93" s="1294"/>
      <c r="AO93" s="1294"/>
      <c r="AP93" s="1294"/>
      <c r="AQ93" s="1294"/>
      <c r="AR93" s="1294">
        <f t="shared" si="77"/>
        <v>0</v>
      </c>
      <c r="AS93" s="1136"/>
      <c r="AT93" s="668">
        <f t="shared" si="94"/>
        <v>0</v>
      </c>
      <c r="AU93" s="463"/>
      <c r="AV93" s="468">
        <f t="shared" si="98"/>
        <v>0</v>
      </c>
      <c r="AW93" s="468">
        <f t="shared" si="95"/>
        <v>1500</v>
      </c>
      <c r="AX93" s="463"/>
      <c r="AY93" s="463"/>
      <c r="AZ93" s="463"/>
      <c r="BA93" s="463"/>
      <c r="BB93" s="463"/>
      <c r="BC93" s="437">
        <f t="shared" si="105"/>
        <v>0</v>
      </c>
      <c r="BD93" s="437"/>
      <c r="BE93">
        <f t="shared" si="96"/>
        <v>100</v>
      </c>
      <c r="BF93" s="437">
        <f t="shared" si="97"/>
        <v>0</v>
      </c>
    </row>
    <row r="94" spans="1:59" ht="39" customHeight="1">
      <c r="A94" s="1376"/>
      <c r="B94" s="1377"/>
      <c r="C94" s="1377"/>
      <c r="D94" s="1383" t="s">
        <v>1577</v>
      </c>
      <c r="E94" s="1384"/>
      <c r="F94" s="1805">
        <v>613400</v>
      </c>
      <c r="G94" s="1849" t="s">
        <v>246</v>
      </c>
      <c r="H94" s="1575"/>
      <c r="I94" s="1386"/>
      <c r="J94" s="1386"/>
      <c r="K94" s="1374">
        <f>SUM(H94:J94)</f>
        <v>0</v>
      </c>
      <c r="L94" s="1577">
        <v>3000</v>
      </c>
      <c r="M94" s="1307"/>
      <c r="N94" s="1308"/>
      <c r="O94" s="1375">
        <f t="shared" si="110"/>
        <v>3000</v>
      </c>
      <c r="P94" s="1577">
        <v>3000</v>
      </c>
      <c r="Q94" s="1307"/>
      <c r="R94" s="1308"/>
      <c r="S94" s="1375">
        <f t="shared" si="111"/>
        <v>3000</v>
      </c>
      <c r="T94" s="1577">
        <v>3000</v>
      </c>
      <c r="U94" s="1307"/>
      <c r="V94" s="1308"/>
      <c r="W94" s="1375">
        <f t="shared" si="112"/>
        <v>3000</v>
      </c>
      <c r="X94" s="1578">
        <f t="shared" si="82"/>
        <v>100</v>
      </c>
      <c r="Y94" s="2457"/>
      <c r="Z94" s="1136"/>
      <c r="AA94" s="1136"/>
      <c r="AB94" s="1293">
        <f t="shared" si="74"/>
        <v>0</v>
      </c>
      <c r="AC94" s="1293">
        <f t="shared" si="78"/>
        <v>0</v>
      </c>
      <c r="AD94" s="1293">
        <f t="shared" si="83"/>
        <v>0</v>
      </c>
      <c r="AE94" s="1293">
        <f t="shared" si="75"/>
        <v>0</v>
      </c>
      <c r="AF94" s="1294"/>
      <c r="AG94" s="1294"/>
      <c r="AH94" s="1294">
        <f t="shared" si="76"/>
        <v>0</v>
      </c>
      <c r="AI94" s="1294">
        <f t="shared" si="79"/>
        <v>0</v>
      </c>
      <c r="AJ94" s="1293">
        <f t="shared" si="84"/>
        <v>0</v>
      </c>
      <c r="AK94" s="1294"/>
      <c r="AL94" s="1294"/>
      <c r="AM94" s="1294"/>
      <c r="AN94" s="1294"/>
      <c r="AO94" s="1294"/>
      <c r="AP94" s="1294"/>
      <c r="AQ94" s="1294"/>
      <c r="AR94" s="1294">
        <f t="shared" si="77"/>
        <v>0</v>
      </c>
      <c r="AS94" s="1136"/>
      <c r="AT94" s="668">
        <f t="shared" si="94"/>
        <v>0</v>
      </c>
      <c r="AU94" s="463"/>
      <c r="AV94" s="468">
        <f t="shared" si="98"/>
        <v>0</v>
      </c>
      <c r="AW94" s="468">
        <f t="shared" si="95"/>
        <v>3000</v>
      </c>
      <c r="AX94" s="463"/>
      <c r="AY94" s="463"/>
      <c r="AZ94" s="463"/>
      <c r="BA94" s="463"/>
      <c r="BB94" s="463"/>
      <c r="BC94" s="437">
        <f t="shared" si="105"/>
        <v>0</v>
      </c>
      <c r="BD94" s="437"/>
      <c r="BE94">
        <f t="shared" si="96"/>
        <v>100</v>
      </c>
      <c r="BF94" s="437">
        <f t="shared" si="97"/>
        <v>0</v>
      </c>
    </row>
    <row r="95" spans="1:59" ht="39" customHeight="1">
      <c r="A95" s="1376"/>
      <c r="B95" s="1377"/>
      <c r="C95" s="1377"/>
      <c r="D95" s="1383" t="s">
        <v>1578</v>
      </c>
      <c r="E95" s="1384"/>
      <c r="F95" s="1805">
        <v>613500</v>
      </c>
      <c r="G95" s="1845" t="s">
        <v>677</v>
      </c>
      <c r="H95" s="1575"/>
      <c r="I95" s="1386"/>
      <c r="J95" s="1386"/>
      <c r="K95" s="1374">
        <f>SUM(H95:J95)</f>
        <v>0</v>
      </c>
      <c r="L95" s="1577">
        <v>1200</v>
      </c>
      <c r="M95" s="1307"/>
      <c r="N95" s="1308"/>
      <c r="O95" s="1375">
        <f t="shared" si="110"/>
        <v>1200</v>
      </c>
      <c r="P95" s="1577">
        <v>1200</v>
      </c>
      <c r="Q95" s="1307"/>
      <c r="R95" s="1308"/>
      <c r="S95" s="1375">
        <f t="shared" si="111"/>
        <v>1200</v>
      </c>
      <c r="T95" s="1577">
        <v>1200</v>
      </c>
      <c r="U95" s="1307"/>
      <c r="V95" s="1308"/>
      <c r="W95" s="1375">
        <f t="shared" si="112"/>
        <v>1200</v>
      </c>
      <c r="X95" s="1578">
        <f t="shared" si="82"/>
        <v>100</v>
      </c>
      <c r="Y95" s="2457"/>
      <c r="Z95" s="1136"/>
      <c r="AA95" s="1136"/>
      <c r="AB95" s="1293">
        <f t="shared" si="74"/>
        <v>0</v>
      </c>
      <c r="AC95" s="1293">
        <f t="shared" si="78"/>
        <v>0</v>
      </c>
      <c r="AD95" s="1293">
        <f t="shared" si="83"/>
        <v>0</v>
      </c>
      <c r="AE95" s="1293">
        <f t="shared" si="75"/>
        <v>0</v>
      </c>
      <c r="AF95" s="1294"/>
      <c r="AG95" s="1294"/>
      <c r="AH95" s="1294">
        <f t="shared" si="76"/>
        <v>0</v>
      </c>
      <c r="AI95" s="1294">
        <f t="shared" si="79"/>
        <v>0</v>
      </c>
      <c r="AJ95" s="1293">
        <f t="shared" si="84"/>
        <v>0</v>
      </c>
      <c r="AK95" s="1294"/>
      <c r="AL95" s="1294"/>
      <c r="AM95" s="1294"/>
      <c r="AN95" s="1294"/>
      <c r="AO95" s="1294"/>
      <c r="AP95" s="1294"/>
      <c r="AQ95" s="1294"/>
      <c r="AR95" s="1294">
        <f t="shared" si="77"/>
        <v>0</v>
      </c>
      <c r="AS95" s="1136"/>
      <c r="AT95" s="668">
        <f t="shared" si="94"/>
        <v>0</v>
      </c>
      <c r="AU95" s="463"/>
      <c r="AV95" s="468">
        <f t="shared" si="98"/>
        <v>0</v>
      </c>
      <c r="AW95" s="468">
        <f t="shared" si="95"/>
        <v>1200</v>
      </c>
      <c r="AX95" s="463"/>
      <c r="AY95" s="463"/>
      <c r="AZ95" s="463"/>
      <c r="BA95" s="463"/>
      <c r="BB95" s="463"/>
      <c r="BC95" s="437">
        <f t="shared" si="105"/>
        <v>0</v>
      </c>
      <c r="BD95" s="437"/>
      <c r="BE95">
        <f t="shared" si="96"/>
        <v>100</v>
      </c>
      <c r="BF95" s="437">
        <f t="shared" si="97"/>
        <v>0</v>
      </c>
    </row>
    <row r="96" spans="1:59" ht="39" customHeight="1">
      <c r="A96" s="1376"/>
      <c r="B96" s="1377"/>
      <c r="C96" s="1377"/>
      <c r="D96" s="1383" t="s">
        <v>1579</v>
      </c>
      <c r="E96" s="1383" t="s">
        <v>206</v>
      </c>
      <c r="F96" s="1802">
        <v>613900</v>
      </c>
      <c r="G96" s="1848" t="s">
        <v>180</v>
      </c>
      <c r="H96" s="1635">
        <f t="shared" ref="H96:P96" si="113">SUM(H97:H101)</f>
        <v>0</v>
      </c>
      <c r="I96" s="1635">
        <f t="shared" si="113"/>
        <v>0</v>
      </c>
      <c r="J96" s="1635">
        <f t="shared" si="113"/>
        <v>0</v>
      </c>
      <c r="K96" s="1381">
        <f t="shared" si="113"/>
        <v>0</v>
      </c>
      <c r="L96" s="1636">
        <f t="shared" si="113"/>
        <v>5250</v>
      </c>
      <c r="M96" s="1323">
        <f t="shared" si="113"/>
        <v>0</v>
      </c>
      <c r="N96" s="1324">
        <f t="shared" si="113"/>
        <v>0</v>
      </c>
      <c r="O96" s="1336">
        <f t="shared" si="113"/>
        <v>5250</v>
      </c>
      <c r="P96" s="1636">
        <f t="shared" si="113"/>
        <v>6250</v>
      </c>
      <c r="Q96" s="1323"/>
      <c r="R96" s="1324"/>
      <c r="S96" s="1336">
        <f>SUM(S97:S101)</f>
        <v>5250</v>
      </c>
      <c r="T96" s="1636">
        <f>SUM(T97:T101)</f>
        <v>6850</v>
      </c>
      <c r="U96" s="1323"/>
      <c r="V96" s="1324"/>
      <c r="W96" s="1316">
        <f>SUM(W97:W101)</f>
        <v>6850</v>
      </c>
      <c r="X96" s="1578">
        <f t="shared" si="82"/>
        <v>130.47619047619048</v>
      </c>
      <c r="Y96" s="2457">
        <f>'[1]PRIH REBALANS'!$AK$418</f>
        <v>6850</v>
      </c>
      <c r="Z96" s="1136"/>
      <c r="AA96" s="1136">
        <f>'[9]PRIH REBALANS'!$AK$418</f>
        <v>6850</v>
      </c>
      <c r="AB96" s="1293">
        <f t="shared" si="74"/>
        <v>0</v>
      </c>
      <c r="AC96" s="1293">
        <f t="shared" si="78"/>
        <v>0</v>
      </c>
      <c r="AD96" s="1293">
        <f t="shared" si="83"/>
        <v>1600</v>
      </c>
      <c r="AE96" s="1293">
        <f t="shared" si="75"/>
        <v>0</v>
      </c>
      <c r="AF96" s="1294"/>
      <c r="AG96" s="1294"/>
      <c r="AH96" s="1294">
        <f t="shared" si="76"/>
        <v>1600</v>
      </c>
      <c r="AI96" s="1294">
        <f t="shared" si="79"/>
        <v>0</v>
      </c>
      <c r="AJ96" s="1293">
        <f t="shared" si="84"/>
        <v>0</v>
      </c>
      <c r="AK96" s="1294"/>
      <c r="AL96" s="1294"/>
      <c r="AM96" s="1294"/>
      <c r="AN96" s="1294"/>
      <c r="AO96" s="1294"/>
      <c r="AP96" s="1294"/>
      <c r="AQ96" s="1294"/>
      <c r="AR96" s="1294">
        <f t="shared" si="77"/>
        <v>0</v>
      </c>
      <c r="AS96" s="1136">
        <f>SUM(W97:W101)</f>
        <v>6850</v>
      </c>
      <c r="AT96" s="668">
        <f t="shared" si="94"/>
        <v>0</v>
      </c>
      <c r="AU96" s="463">
        <f>SUM(W97:W101)</f>
        <v>6850</v>
      </c>
      <c r="AV96" s="468">
        <f t="shared" si="98"/>
        <v>0</v>
      </c>
      <c r="AW96" s="468">
        <f t="shared" si="95"/>
        <v>6850</v>
      </c>
      <c r="AX96" s="463"/>
      <c r="AY96" s="463"/>
      <c r="AZ96" s="463"/>
      <c r="BA96" s="463"/>
      <c r="BB96" s="463"/>
      <c r="BC96" s="437">
        <f t="shared" si="105"/>
        <v>0</v>
      </c>
      <c r="BD96" s="437"/>
      <c r="BE96">
        <f t="shared" si="96"/>
        <v>130.47619047619048</v>
      </c>
      <c r="BF96" s="437">
        <f t="shared" si="97"/>
        <v>0</v>
      </c>
      <c r="BG96" s="209">
        <f>SUM(W97:W101)</f>
        <v>6850</v>
      </c>
    </row>
    <row r="97" spans="1:59" ht="39" customHeight="1">
      <c r="A97" s="1376"/>
      <c r="B97" s="1377"/>
      <c r="C97" s="1377"/>
      <c r="D97" s="1383" t="s">
        <v>1580</v>
      </c>
      <c r="E97" s="1384"/>
      <c r="F97" s="1805">
        <v>613914</v>
      </c>
      <c r="G97" s="1849" t="s">
        <v>224</v>
      </c>
      <c r="H97" s="1385"/>
      <c r="I97" s="1386"/>
      <c r="J97" s="1386"/>
      <c r="K97" s="1374">
        <f>SUM(H97:J97)</f>
        <v>0</v>
      </c>
      <c r="L97" s="1623">
        <v>1000</v>
      </c>
      <c r="M97" s="1307"/>
      <c r="N97" s="1308"/>
      <c r="O97" s="1375">
        <f>SUM(L97:N97)</f>
        <v>1000</v>
      </c>
      <c r="P97" s="1623">
        <v>1000</v>
      </c>
      <c r="Q97" s="1307"/>
      <c r="R97" s="1308"/>
      <c r="S97" s="1375">
        <f>SUM(P97:R97)</f>
        <v>1000</v>
      </c>
      <c r="T97" s="1623">
        <v>1000</v>
      </c>
      <c r="U97" s="1307"/>
      <c r="V97" s="1308"/>
      <c r="W97" s="1375">
        <f>SUM(T97:V97)</f>
        <v>1000</v>
      </c>
      <c r="X97" s="1578">
        <f t="shared" si="82"/>
        <v>100</v>
      </c>
      <c r="Y97" s="2457">
        <f>T96-Y96</f>
        <v>0</v>
      </c>
      <c r="Z97" s="1136"/>
      <c r="AA97" s="1136"/>
      <c r="AB97" s="1293">
        <f t="shared" si="74"/>
        <v>0</v>
      </c>
      <c r="AC97" s="1293">
        <f t="shared" si="78"/>
        <v>0</v>
      </c>
      <c r="AD97" s="1293">
        <f t="shared" si="83"/>
        <v>0</v>
      </c>
      <c r="AE97" s="1293">
        <f t="shared" si="75"/>
        <v>0</v>
      </c>
      <c r="AF97" s="1294"/>
      <c r="AG97" s="1294"/>
      <c r="AH97" s="1294">
        <f t="shared" si="76"/>
        <v>0</v>
      </c>
      <c r="AI97" s="1294">
        <f t="shared" si="79"/>
        <v>0</v>
      </c>
      <c r="AJ97" s="1293">
        <f t="shared" si="84"/>
        <v>0</v>
      </c>
      <c r="AK97" s="1294"/>
      <c r="AL97" s="1294"/>
      <c r="AM97" s="1294"/>
      <c r="AN97" s="1294"/>
      <c r="AO97" s="1294"/>
      <c r="AP97" s="1294"/>
      <c r="AQ97" s="1294"/>
      <c r="AR97" s="1294">
        <f t="shared" si="77"/>
        <v>0</v>
      </c>
      <c r="AS97" s="1136"/>
      <c r="AT97" s="668">
        <f t="shared" si="94"/>
        <v>0</v>
      </c>
      <c r="AU97" s="463"/>
      <c r="AV97" s="468">
        <f t="shared" si="98"/>
        <v>0</v>
      </c>
      <c r="AW97" s="468">
        <f t="shared" si="95"/>
        <v>1000</v>
      </c>
      <c r="AX97" s="463"/>
      <c r="AY97" s="463"/>
      <c r="AZ97" s="463"/>
      <c r="BA97" s="463"/>
      <c r="BB97" s="463"/>
      <c r="BC97" s="437">
        <f t="shared" si="105"/>
        <v>0</v>
      </c>
      <c r="BD97" s="437"/>
      <c r="BE97">
        <f t="shared" si="96"/>
        <v>100</v>
      </c>
      <c r="BF97" s="437">
        <f t="shared" si="97"/>
        <v>0</v>
      </c>
    </row>
    <row r="98" spans="1:59" ht="39" customHeight="1">
      <c r="A98" s="1376"/>
      <c r="B98" s="1377"/>
      <c r="C98" s="1377"/>
      <c r="D98" s="1383" t="s">
        <v>1581</v>
      </c>
      <c r="E98" s="1384"/>
      <c r="F98" s="1805">
        <v>613920</v>
      </c>
      <c r="G98" s="1849" t="s">
        <v>248</v>
      </c>
      <c r="H98" s="1385"/>
      <c r="I98" s="1386"/>
      <c r="J98" s="1386"/>
      <c r="K98" s="1374">
        <f>SUM(H98:J98)</f>
        <v>0</v>
      </c>
      <c r="L98" s="1623">
        <v>3000</v>
      </c>
      <c r="M98" s="1307"/>
      <c r="N98" s="1308"/>
      <c r="O98" s="1375">
        <f>SUM(L98:N98)</f>
        <v>3000</v>
      </c>
      <c r="P98" s="1623">
        <v>3000</v>
      </c>
      <c r="Q98" s="1307"/>
      <c r="R98" s="1308"/>
      <c r="S98" s="1375">
        <f>SUM(P98:R98)</f>
        <v>3000</v>
      </c>
      <c r="T98" s="1623">
        <v>3000</v>
      </c>
      <c r="U98" s="1307"/>
      <c r="V98" s="1308"/>
      <c r="W98" s="1375">
        <f>SUM(T98:V98)</f>
        <v>3000</v>
      </c>
      <c r="X98" s="1578">
        <f t="shared" si="82"/>
        <v>100</v>
      </c>
      <c r="Y98" s="2457"/>
      <c r="Z98" s="1136"/>
      <c r="AA98" s="1136"/>
      <c r="AB98" s="1293">
        <f t="shared" si="74"/>
        <v>0</v>
      </c>
      <c r="AC98" s="1293">
        <f t="shared" si="78"/>
        <v>0</v>
      </c>
      <c r="AD98" s="1293">
        <f t="shared" si="83"/>
        <v>0</v>
      </c>
      <c r="AE98" s="1293">
        <f t="shared" si="75"/>
        <v>0</v>
      </c>
      <c r="AF98" s="1294"/>
      <c r="AG98" s="1294"/>
      <c r="AH98" s="1294">
        <f t="shared" si="76"/>
        <v>0</v>
      </c>
      <c r="AI98" s="1294">
        <f t="shared" si="79"/>
        <v>0</v>
      </c>
      <c r="AJ98" s="1293">
        <f t="shared" si="84"/>
        <v>0</v>
      </c>
      <c r="AK98" s="1294"/>
      <c r="AL98" s="1294"/>
      <c r="AM98" s="1294"/>
      <c r="AN98" s="1294"/>
      <c r="AO98" s="1294"/>
      <c r="AP98" s="1294"/>
      <c r="AQ98" s="1294"/>
      <c r="AR98" s="1294">
        <f t="shared" si="77"/>
        <v>0</v>
      </c>
      <c r="AS98" s="1136"/>
      <c r="AT98" s="668">
        <f t="shared" si="94"/>
        <v>0</v>
      </c>
      <c r="AU98" s="463"/>
      <c r="AV98" s="468">
        <f t="shared" si="98"/>
        <v>0</v>
      </c>
      <c r="AW98" s="468">
        <f t="shared" si="95"/>
        <v>3000</v>
      </c>
      <c r="AX98" s="463"/>
      <c r="AY98" s="463"/>
      <c r="AZ98" s="463"/>
      <c r="BA98" s="463"/>
      <c r="BB98" s="463"/>
      <c r="BC98" s="437">
        <f t="shared" si="105"/>
        <v>0</v>
      </c>
      <c r="BD98" s="437"/>
      <c r="BE98">
        <f t="shared" si="96"/>
        <v>100</v>
      </c>
      <c r="BF98" s="437">
        <f t="shared" si="97"/>
        <v>0</v>
      </c>
    </row>
    <row r="99" spans="1:59" ht="39" customHeight="1">
      <c r="A99" s="1376"/>
      <c r="B99" s="1377"/>
      <c r="C99" s="1377"/>
      <c r="D99" s="1383"/>
      <c r="E99" s="1384"/>
      <c r="F99" s="1805"/>
      <c r="G99" s="1849" t="s">
        <v>263</v>
      </c>
      <c r="H99" s="1385"/>
      <c r="I99" s="1386"/>
      <c r="J99" s="1386"/>
      <c r="K99" s="1374"/>
      <c r="L99" s="1623"/>
      <c r="M99" s="1307"/>
      <c r="N99" s="1308"/>
      <c r="O99" s="1375"/>
      <c r="P99" s="1623">
        <v>1000</v>
      </c>
      <c r="Q99" s="1307"/>
      <c r="R99" s="1308"/>
      <c r="S99" s="1375"/>
      <c r="T99" s="1623">
        <v>1000</v>
      </c>
      <c r="U99" s="1307"/>
      <c r="V99" s="1308"/>
      <c r="W99" s="1375">
        <f>SUM(T99:V99)</f>
        <v>1000</v>
      </c>
      <c r="X99" s="1578"/>
      <c r="Y99" s="2457"/>
      <c r="Z99" s="1136"/>
      <c r="AA99" s="1136"/>
      <c r="AB99" s="1293">
        <f t="shared" si="74"/>
        <v>0</v>
      </c>
      <c r="AC99" s="1293">
        <f t="shared" si="78"/>
        <v>0</v>
      </c>
      <c r="AD99" s="1293">
        <f t="shared" si="83"/>
        <v>1000</v>
      </c>
      <c r="AE99" s="1293">
        <f t="shared" si="75"/>
        <v>0</v>
      </c>
      <c r="AF99" s="1294"/>
      <c r="AG99" s="1294"/>
      <c r="AH99" s="1294">
        <f t="shared" si="76"/>
        <v>1000</v>
      </c>
      <c r="AI99" s="1294">
        <f t="shared" si="79"/>
        <v>0</v>
      </c>
      <c r="AJ99" s="1293">
        <f t="shared" si="84"/>
        <v>0</v>
      </c>
      <c r="AK99" s="1294"/>
      <c r="AL99" s="1294"/>
      <c r="AM99" s="1294"/>
      <c r="AN99" s="1294"/>
      <c r="AO99" s="1294"/>
      <c r="AP99" s="1294"/>
      <c r="AQ99" s="1294"/>
      <c r="AR99" s="1294"/>
      <c r="AS99" s="1136"/>
      <c r="AT99" s="668"/>
      <c r="AU99" s="463"/>
      <c r="AV99" s="468"/>
      <c r="AW99" s="468"/>
      <c r="AX99" s="463"/>
      <c r="AY99" s="463"/>
      <c r="AZ99" s="463"/>
      <c r="BA99" s="463"/>
      <c r="BB99" s="463"/>
      <c r="BC99" s="437"/>
      <c r="BD99" s="437"/>
      <c r="BF99" s="437"/>
    </row>
    <row r="100" spans="1:59" ht="39" customHeight="1">
      <c r="A100" s="1376"/>
      <c r="B100" s="1377"/>
      <c r="C100" s="1377"/>
      <c r="D100" s="1383" t="s">
        <v>1582</v>
      </c>
      <c r="E100" s="1613"/>
      <c r="F100" s="1805">
        <v>613983</v>
      </c>
      <c r="G100" s="1849" t="s">
        <v>704</v>
      </c>
      <c r="H100" s="1386"/>
      <c r="I100" s="1635"/>
      <c r="J100" s="1635"/>
      <c r="K100" s="1374">
        <f>SUM(H100:J100)</f>
        <v>0</v>
      </c>
      <c r="L100" s="1637">
        <v>250</v>
      </c>
      <c r="M100" s="1323"/>
      <c r="N100" s="1324"/>
      <c r="O100" s="1375">
        <f>SUM(L100:N100)</f>
        <v>250</v>
      </c>
      <c r="P100" s="1637">
        <v>250</v>
      </c>
      <c r="Q100" s="1323"/>
      <c r="R100" s="1324"/>
      <c r="S100" s="1375">
        <f>SUM(P100:R100)</f>
        <v>250</v>
      </c>
      <c r="T100" s="1637">
        <v>250</v>
      </c>
      <c r="U100" s="1323"/>
      <c r="V100" s="1324"/>
      <c r="W100" s="1375">
        <f>SUM(T100:V100)</f>
        <v>250</v>
      </c>
      <c r="X100" s="1578">
        <f t="shared" si="82"/>
        <v>100</v>
      </c>
      <c r="Y100" s="2457"/>
      <c r="Z100" s="1136"/>
      <c r="AA100" s="1136"/>
      <c r="AB100" s="1293">
        <f t="shared" si="74"/>
        <v>0</v>
      </c>
      <c r="AC100" s="1293">
        <f t="shared" si="78"/>
        <v>0</v>
      </c>
      <c r="AD100" s="1293">
        <f t="shared" si="83"/>
        <v>0</v>
      </c>
      <c r="AE100" s="1293">
        <f t="shared" si="75"/>
        <v>0</v>
      </c>
      <c r="AF100" s="1294"/>
      <c r="AG100" s="1294"/>
      <c r="AH100" s="1294">
        <f t="shared" si="76"/>
        <v>0</v>
      </c>
      <c r="AI100" s="1294">
        <f t="shared" si="79"/>
        <v>0</v>
      </c>
      <c r="AJ100" s="1293">
        <f t="shared" si="84"/>
        <v>0</v>
      </c>
      <c r="AK100" s="1294"/>
      <c r="AL100" s="1294"/>
      <c r="AM100" s="1294"/>
      <c r="AN100" s="1294"/>
      <c r="AO100" s="1294"/>
      <c r="AP100" s="1294"/>
      <c r="AQ100" s="1294"/>
      <c r="AR100" s="1294">
        <f t="shared" ref="AR100:AR131" si="114">T100+U100+V100-W100</f>
        <v>0</v>
      </c>
      <c r="AS100" s="1136"/>
      <c r="AT100" s="668">
        <f t="shared" ref="AT100:AT131" si="115">T100+U100+V100-W100</f>
        <v>0</v>
      </c>
      <c r="AU100" s="463"/>
      <c r="AV100" s="468">
        <f>T100+U100+V100-W100</f>
        <v>0</v>
      </c>
      <c r="AW100" s="468">
        <f t="shared" ref="AW100:AW131" si="116">W100-AV100</f>
        <v>250</v>
      </c>
      <c r="AX100" s="463"/>
      <c r="AY100" s="463"/>
      <c r="AZ100" s="463"/>
      <c r="BA100" s="463"/>
      <c r="BB100" s="463"/>
      <c r="BC100" s="437">
        <f>T100+U100+V100+-W100</f>
        <v>0</v>
      </c>
      <c r="BD100" s="437"/>
      <c r="BE100">
        <f t="shared" ref="BE100:BE131" si="117">W100/O100*100</f>
        <v>100</v>
      </c>
      <c r="BF100" s="437">
        <f t="shared" ref="BF100:BF131" si="118">BE100-X100</f>
        <v>0</v>
      </c>
    </row>
    <row r="101" spans="1:59" ht="39" customHeight="1">
      <c r="A101" s="1376"/>
      <c r="B101" s="1377"/>
      <c r="C101" s="1377"/>
      <c r="D101" s="1383" t="s">
        <v>1583</v>
      </c>
      <c r="E101" s="1384"/>
      <c r="F101" s="1805">
        <v>613990</v>
      </c>
      <c r="G101" s="1849" t="s">
        <v>235</v>
      </c>
      <c r="H101" s="1385"/>
      <c r="I101" s="1386"/>
      <c r="J101" s="1386"/>
      <c r="K101" s="1374">
        <f>SUM(H101:J101)</f>
        <v>0</v>
      </c>
      <c r="L101" s="1623">
        <v>1000</v>
      </c>
      <c r="M101" s="1307"/>
      <c r="N101" s="1308"/>
      <c r="O101" s="1375">
        <f>SUM(L101:N101)</f>
        <v>1000</v>
      </c>
      <c r="P101" s="1623">
        <v>1000</v>
      </c>
      <c r="Q101" s="1307"/>
      <c r="R101" s="1308"/>
      <c r="S101" s="1375">
        <f>SUM(P101:R101)</f>
        <v>1000</v>
      </c>
      <c r="T101" s="1623">
        <v>1600</v>
      </c>
      <c r="U101" s="1307"/>
      <c r="V101" s="1308"/>
      <c r="W101" s="1375">
        <f>SUM(T101:V101)</f>
        <v>1600</v>
      </c>
      <c r="X101" s="1578">
        <f t="shared" si="82"/>
        <v>160</v>
      </c>
      <c r="Y101" s="2457"/>
      <c r="Z101" s="1136"/>
      <c r="AA101" s="1136"/>
      <c r="AB101" s="1293">
        <f t="shared" si="74"/>
        <v>0</v>
      </c>
      <c r="AC101" s="1293">
        <f t="shared" si="78"/>
        <v>0</v>
      </c>
      <c r="AD101" s="1293">
        <f t="shared" si="83"/>
        <v>600</v>
      </c>
      <c r="AE101" s="1293">
        <f t="shared" si="75"/>
        <v>0</v>
      </c>
      <c r="AF101" s="1294"/>
      <c r="AG101" s="1294"/>
      <c r="AH101" s="1294">
        <f t="shared" si="76"/>
        <v>600</v>
      </c>
      <c r="AI101" s="1294">
        <f t="shared" si="79"/>
        <v>0</v>
      </c>
      <c r="AJ101" s="1293">
        <f t="shared" si="84"/>
        <v>0</v>
      </c>
      <c r="AK101" s="1294"/>
      <c r="AL101" s="1294"/>
      <c r="AM101" s="1294"/>
      <c r="AN101" s="1294"/>
      <c r="AO101" s="1294"/>
      <c r="AP101" s="1294"/>
      <c r="AQ101" s="1294"/>
      <c r="AR101" s="1294">
        <f t="shared" si="114"/>
        <v>0</v>
      </c>
      <c r="AS101" s="1136"/>
      <c r="AT101" s="668">
        <f t="shared" si="115"/>
        <v>0</v>
      </c>
      <c r="AU101" s="463"/>
      <c r="AV101" s="468">
        <f>T101+U101+V101-W101</f>
        <v>0</v>
      </c>
      <c r="AW101" s="468">
        <f t="shared" si="116"/>
        <v>1600</v>
      </c>
      <c r="AX101" s="463"/>
      <c r="AY101" s="463"/>
      <c r="AZ101" s="463"/>
      <c r="BA101" s="463"/>
      <c r="BB101" s="463"/>
      <c r="BC101" s="437">
        <f>T101+U101+V101+-W101</f>
        <v>0</v>
      </c>
      <c r="BD101" s="437"/>
      <c r="BE101">
        <f t="shared" si="117"/>
        <v>160</v>
      </c>
      <c r="BF101" s="437">
        <f t="shared" si="118"/>
        <v>0</v>
      </c>
    </row>
    <row r="102" spans="1:59" ht="62.45" customHeight="1">
      <c r="A102" s="1594" t="s">
        <v>266</v>
      </c>
      <c r="B102" s="1595" t="s">
        <v>204</v>
      </c>
      <c r="C102" s="1595" t="s">
        <v>205</v>
      </c>
      <c r="D102" s="1596">
        <v>111</v>
      </c>
      <c r="E102" s="1596" t="s">
        <v>206</v>
      </c>
      <c r="F102" s="1804"/>
      <c r="G102" s="1687" t="s">
        <v>267</v>
      </c>
      <c r="H102" s="1619">
        <f>SUM(H104)</f>
        <v>154360</v>
      </c>
      <c r="I102" s="1619">
        <f>SUM(I114)</f>
        <v>0</v>
      </c>
      <c r="J102" s="1619">
        <f>SUM(J114)</f>
        <v>0</v>
      </c>
      <c r="K102" s="1585">
        <f>SUM(K104)</f>
        <v>154360</v>
      </c>
      <c r="L102" s="1620">
        <f>SUM(L104)</f>
        <v>79950</v>
      </c>
      <c r="M102" s="1313">
        <f>SUM(M114)</f>
        <v>0</v>
      </c>
      <c r="N102" s="1314">
        <f>SUM(N114)</f>
        <v>0</v>
      </c>
      <c r="O102" s="1335">
        <f>SUM(O104)</f>
        <v>79950</v>
      </c>
      <c r="P102" s="1620">
        <f>SUM(P104)</f>
        <v>16150</v>
      </c>
      <c r="Q102" s="1313"/>
      <c r="R102" s="1314"/>
      <c r="S102" s="1335">
        <f>SUM(S104)</f>
        <v>16150</v>
      </c>
      <c r="T102" s="1620">
        <f>SUM(T104)</f>
        <v>87800</v>
      </c>
      <c r="U102" s="1313"/>
      <c r="V102" s="1314"/>
      <c r="W102" s="1315">
        <f>SUM(W104)</f>
        <v>87800</v>
      </c>
      <c r="X102" s="1598">
        <f t="shared" si="82"/>
        <v>109.81863664790494</v>
      </c>
      <c r="Y102" s="758"/>
      <c r="Z102" s="1135"/>
      <c r="AA102" s="1135">
        <f>'[9]PRIH REBALANS'!$AK$427</f>
        <v>87800</v>
      </c>
      <c r="AB102" s="1293">
        <f t="shared" si="74"/>
        <v>0</v>
      </c>
      <c r="AC102" s="1293">
        <f t="shared" si="78"/>
        <v>0</v>
      </c>
      <c r="AD102" s="1293">
        <f t="shared" si="83"/>
        <v>7850</v>
      </c>
      <c r="AE102" s="1293">
        <f t="shared" si="75"/>
        <v>0</v>
      </c>
      <c r="AF102" s="1293"/>
      <c r="AG102" s="1293"/>
      <c r="AH102" s="1294">
        <f t="shared" si="76"/>
        <v>7850</v>
      </c>
      <c r="AI102" s="1294">
        <f t="shared" ref="AI102:AI133" si="119">T102+U102+V102-W102</f>
        <v>0</v>
      </c>
      <c r="AJ102" s="1293">
        <f t="shared" si="84"/>
        <v>0</v>
      </c>
      <c r="AK102" s="1294"/>
      <c r="AL102" s="1294"/>
      <c r="AM102" s="1294"/>
      <c r="AN102" s="1294"/>
      <c r="AO102" s="1294"/>
      <c r="AP102" s="1294"/>
      <c r="AQ102" s="1294"/>
      <c r="AR102" s="1294">
        <f t="shared" si="114"/>
        <v>0</v>
      </c>
      <c r="AS102" s="1135">
        <f>SUM(AS106,AS109,AS113,AS115)</f>
        <v>87800</v>
      </c>
      <c r="AT102" s="668">
        <f t="shared" si="115"/>
        <v>0</v>
      </c>
      <c r="AU102" s="668">
        <f>SUM(AU106,AU109,AU113,AU115)</f>
        <v>87800</v>
      </c>
      <c r="AV102" s="468">
        <f>'[3]PRIH REBALANS'!$AK$446</f>
        <v>79950</v>
      </c>
      <c r="AW102" s="468">
        <f t="shared" si="116"/>
        <v>7850</v>
      </c>
      <c r="AX102" s="669"/>
      <c r="AY102" s="669"/>
      <c r="AZ102" s="669"/>
      <c r="BA102" s="669"/>
      <c r="BB102" s="669"/>
      <c r="BC102" s="437">
        <f>'[2]PRIH REBALANS'!$AK$446</f>
        <v>79950</v>
      </c>
      <c r="BD102" s="437"/>
      <c r="BE102">
        <f t="shared" si="117"/>
        <v>109.81863664790494</v>
      </c>
      <c r="BF102" s="437">
        <f t="shared" si="118"/>
        <v>0</v>
      </c>
      <c r="BG102" s="468">
        <f>SUM(BG106:BG115,W126)</f>
        <v>87800</v>
      </c>
    </row>
    <row r="103" spans="1:59" ht="39" customHeight="1">
      <c r="A103" s="1594"/>
      <c r="B103" s="1595"/>
      <c r="C103" s="1595"/>
      <c r="D103" s="1596"/>
      <c r="E103" s="1596"/>
      <c r="F103" s="1804"/>
      <c r="G103" s="1834" t="s">
        <v>268</v>
      </c>
      <c r="H103" s="1619"/>
      <c r="I103" s="1619"/>
      <c r="J103" s="1619"/>
      <c r="K103" s="1585"/>
      <c r="L103" s="1620"/>
      <c r="M103" s="1313"/>
      <c r="N103" s="1314"/>
      <c r="O103" s="1335"/>
      <c r="P103" s="1620"/>
      <c r="Q103" s="1313"/>
      <c r="R103" s="1314"/>
      <c r="S103" s="1335"/>
      <c r="T103" s="1620">
        <v>2</v>
      </c>
      <c r="U103" s="1313"/>
      <c r="V103" s="1314"/>
      <c r="W103" s="1315"/>
      <c r="X103" s="1598"/>
      <c r="Y103" s="758"/>
      <c r="Z103" s="1135"/>
      <c r="AA103" s="1135"/>
      <c r="AB103" s="1293">
        <f t="shared" si="74"/>
        <v>2</v>
      </c>
      <c r="AC103" s="1293">
        <f t="shared" si="78"/>
        <v>2</v>
      </c>
      <c r="AD103" s="1293">
        <f t="shared" si="83"/>
        <v>0</v>
      </c>
      <c r="AE103" s="1293">
        <f t="shared" si="75"/>
        <v>2</v>
      </c>
      <c r="AF103" s="1293"/>
      <c r="AG103" s="1293"/>
      <c r="AH103" s="1294">
        <f t="shared" si="76"/>
        <v>2</v>
      </c>
      <c r="AI103" s="1294">
        <f t="shared" si="119"/>
        <v>2</v>
      </c>
      <c r="AJ103" s="1293">
        <f t="shared" si="84"/>
        <v>2</v>
      </c>
      <c r="AK103" s="1294"/>
      <c r="AL103" s="1294"/>
      <c r="AM103" s="1294"/>
      <c r="AN103" s="1294"/>
      <c r="AO103" s="1294"/>
      <c r="AP103" s="1294"/>
      <c r="AQ103" s="1294"/>
      <c r="AR103" s="1294">
        <f t="shared" si="114"/>
        <v>2</v>
      </c>
      <c r="AS103" s="1135"/>
      <c r="AT103" s="668">
        <f t="shared" si="115"/>
        <v>2</v>
      </c>
      <c r="AU103" s="668"/>
      <c r="AV103" s="468">
        <f t="shared" ref="AV103:AV127" si="120">T103+U103+V103-W103</f>
        <v>2</v>
      </c>
      <c r="AW103" s="468">
        <f t="shared" si="116"/>
        <v>-2</v>
      </c>
      <c r="AX103" s="668"/>
      <c r="AY103" s="668"/>
      <c r="AZ103" s="668"/>
      <c r="BA103" s="668"/>
      <c r="BB103" s="668"/>
      <c r="BC103" s="437">
        <f t="shared" ref="BC103:BC127" si="121">T103+U103+V103+-W103</f>
        <v>2</v>
      </c>
      <c r="BD103" s="437"/>
      <c r="BE103" t="e">
        <f t="shared" si="117"/>
        <v>#DIV/0!</v>
      </c>
      <c r="BF103" s="437" t="e">
        <f t="shared" si="118"/>
        <v>#DIV/0!</v>
      </c>
    </row>
    <row r="104" spans="1:59" ht="39" customHeight="1">
      <c r="A104" s="1628"/>
      <c r="B104" s="1629"/>
      <c r="C104" s="1629"/>
      <c r="D104" s="1383">
        <v>111</v>
      </c>
      <c r="E104" s="1383" t="s">
        <v>206</v>
      </c>
      <c r="F104" s="1802"/>
      <c r="G104" s="1847" t="s">
        <v>675</v>
      </c>
      <c r="H104" s="1599">
        <f>SUM(H105,H113,H115,H126)</f>
        <v>154360</v>
      </c>
      <c r="I104" s="1599"/>
      <c r="J104" s="1599"/>
      <c r="K104" s="1381">
        <f>SUM(K105,K113,K115,K126)</f>
        <v>154360</v>
      </c>
      <c r="L104" s="1634">
        <f>SUM(L105,L113,L115,L126)</f>
        <v>79950</v>
      </c>
      <c r="M104" s="1321"/>
      <c r="N104" s="1322"/>
      <c r="O104" s="1336">
        <f>SUM(O105,O113,O115,O126)</f>
        <v>79950</v>
      </c>
      <c r="P104" s="1634">
        <f>SUM(P105+P113+P115+P126)</f>
        <v>16150</v>
      </c>
      <c r="Q104" s="1321"/>
      <c r="R104" s="1322"/>
      <c r="S104" s="1336">
        <f>SUM(S105+S113+S115+S126)</f>
        <v>16150</v>
      </c>
      <c r="T104" s="1634">
        <f>SUM(T105,T113,T115)</f>
        <v>87800</v>
      </c>
      <c r="U104" s="1321"/>
      <c r="V104" s="1322"/>
      <c r="W104" s="1316">
        <f>SUM(W105+W113+W115+W126)</f>
        <v>87800</v>
      </c>
      <c r="X104" s="1578">
        <f t="shared" si="82"/>
        <v>109.81863664790494</v>
      </c>
      <c r="Y104" s="2457"/>
      <c r="Z104" s="1136"/>
      <c r="AA104" s="1136"/>
      <c r="AB104" s="1293">
        <f t="shared" si="74"/>
        <v>0</v>
      </c>
      <c r="AC104" s="1293">
        <f t="shared" si="78"/>
        <v>0</v>
      </c>
      <c r="AD104" s="1293">
        <f t="shared" si="83"/>
        <v>7850</v>
      </c>
      <c r="AE104" s="1293">
        <f t="shared" si="75"/>
        <v>0</v>
      </c>
      <c r="AF104" s="1294"/>
      <c r="AG104" s="1294"/>
      <c r="AH104" s="1294">
        <f t="shared" si="76"/>
        <v>7850</v>
      </c>
      <c r="AI104" s="1294">
        <f t="shared" si="119"/>
        <v>0</v>
      </c>
      <c r="AJ104" s="1293">
        <f t="shared" si="84"/>
        <v>0</v>
      </c>
      <c r="AK104" s="1294"/>
      <c r="AL104" s="1294"/>
      <c r="AM104" s="1294"/>
      <c r="AN104" s="1294"/>
      <c r="AO104" s="1294"/>
      <c r="AP104" s="1294"/>
      <c r="AQ104" s="1294"/>
      <c r="AR104" s="1294">
        <f t="shared" si="114"/>
        <v>0</v>
      </c>
      <c r="AS104" s="1136"/>
      <c r="AT104" s="668">
        <f t="shared" si="115"/>
        <v>0</v>
      </c>
      <c r="AU104" s="463"/>
      <c r="AV104" s="468">
        <f t="shared" si="120"/>
        <v>0</v>
      </c>
      <c r="AW104" s="468">
        <f t="shared" si="116"/>
        <v>87800</v>
      </c>
      <c r="AX104" s="463"/>
      <c r="AY104" s="463"/>
      <c r="AZ104" s="463"/>
      <c r="BA104" s="463"/>
      <c r="BB104" s="463"/>
      <c r="BC104" s="437">
        <f t="shared" si="121"/>
        <v>0</v>
      </c>
      <c r="BD104" s="437"/>
      <c r="BE104">
        <f t="shared" si="117"/>
        <v>109.81863664790494</v>
      </c>
      <c r="BF104" s="437">
        <f t="shared" si="118"/>
        <v>0</v>
      </c>
    </row>
    <row r="105" spans="1:59" ht="39" customHeight="1">
      <c r="A105" s="1628"/>
      <c r="B105" s="1629"/>
      <c r="C105" s="1629"/>
      <c r="D105" s="1383">
        <v>111</v>
      </c>
      <c r="E105" s="1383" t="s">
        <v>206</v>
      </c>
      <c r="F105" s="1802">
        <v>611000</v>
      </c>
      <c r="G105" s="1836" t="s">
        <v>658</v>
      </c>
      <c r="H105" s="1599">
        <f>SUM(H106,H109)</f>
        <v>117710</v>
      </c>
      <c r="I105" s="1599">
        <f>SUM(I106:I107)</f>
        <v>0</v>
      </c>
      <c r="J105" s="1599">
        <f>SUM(J106:J107)</f>
        <v>0</v>
      </c>
      <c r="K105" s="1381">
        <f>SUM(K106,K109)</f>
        <v>117710</v>
      </c>
      <c r="L105" s="1634">
        <f>SUM(L106,L109)</f>
        <v>54800</v>
      </c>
      <c r="M105" s="1321">
        <f>SUM(M106:M107)</f>
        <v>0</v>
      </c>
      <c r="N105" s="1322">
        <f>SUM(N106:N107)</f>
        <v>0</v>
      </c>
      <c r="O105" s="1336">
        <f>SUM(O106,O109)</f>
        <v>54800</v>
      </c>
      <c r="P105" s="1634">
        <f>SUM(P106+P109)</f>
        <v>0</v>
      </c>
      <c r="Q105" s="1321"/>
      <c r="R105" s="1322"/>
      <c r="S105" s="1336">
        <f>SUM(S106+S109)</f>
        <v>0</v>
      </c>
      <c r="T105" s="1634">
        <f>SUM(T106,T109)</f>
        <v>61600</v>
      </c>
      <c r="U105" s="1321"/>
      <c r="V105" s="1322"/>
      <c r="W105" s="1316">
        <f>SUM(W106,W109)</f>
        <v>61600</v>
      </c>
      <c r="X105" s="1578">
        <f t="shared" si="82"/>
        <v>112.40875912408758</v>
      </c>
      <c r="Y105" s="2457"/>
      <c r="Z105" s="1136"/>
      <c r="AA105" s="1136"/>
      <c r="AB105" s="1293">
        <f t="shared" si="74"/>
        <v>0</v>
      </c>
      <c r="AC105" s="1293">
        <f t="shared" si="78"/>
        <v>0</v>
      </c>
      <c r="AD105" s="1293">
        <f t="shared" si="83"/>
        <v>6800</v>
      </c>
      <c r="AE105" s="1293">
        <f t="shared" si="75"/>
        <v>0</v>
      </c>
      <c r="AF105" s="1294"/>
      <c r="AG105" s="1294"/>
      <c r="AH105" s="1294">
        <f t="shared" si="76"/>
        <v>6800</v>
      </c>
      <c r="AI105" s="1294">
        <f t="shared" si="119"/>
        <v>0</v>
      </c>
      <c r="AJ105" s="1293">
        <f t="shared" si="84"/>
        <v>0</v>
      </c>
      <c r="AK105" s="1294"/>
      <c r="AL105" s="1294"/>
      <c r="AM105" s="1294"/>
      <c r="AN105" s="1294"/>
      <c r="AO105" s="1294"/>
      <c r="AP105" s="1294"/>
      <c r="AQ105" s="1294"/>
      <c r="AR105" s="1294">
        <f t="shared" si="114"/>
        <v>0</v>
      </c>
      <c r="AS105" s="1136"/>
      <c r="AT105" s="668">
        <f t="shared" si="115"/>
        <v>0</v>
      </c>
      <c r="AU105" s="463"/>
      <c r="AV105" s="468">
        <f t="shared" si="120"/>
        <v>0</v>
      </c>
      <c r="AW105" s="468">
        <f t="shared" si="116"/>
        <v>61600</v>
      </c>
      <c r="AX105" s="463"/>
      <c r="AY105" s="463"/>
      <c r="AZ105" s="463"/>
      <c r="BA105" s="463"/>
      <c r="BB105" s="463"/>
      <c r="BC105" s="437">
        <f t="shared" si="121"/>
        <v>0</v>
      </c>
      <c r="BD105" s="437"/>
      <c r="BE105">
        <f t="shared" si="117"/>
        <v>112.40875912408758</v>
      </c>
      <c r="BF105" s="437">
        <f t="shared" si="118"/>
        <v>0</v>
      </c>
    </row>
    <row r="106" spans="1:59" ht="39" customHeight="1">
      <c r="A106" s="1628"/>
      <c r="B106" s="1377"/>
      <c r="C106" s="1377"/>
      <c r="D106" s="1373">
        <v>111</v>
      </c>
      <c r="E106" s="1373"/>
      <c r="F106" s="1795" t="s">
        <v>166</v>
      </c>
      <c r="G106" s="1836" t="s">
        <v>657</v>
      </c>
      <c r="H106" s="1380">
        <f>SUM(H107:H108)</f>
        <v>110000</v>
      </c>
      <c r="I106" s="1380">
        <f>SUM(I107:I108)</f>
        <v>0</v>
      </c>
      <c r="J106" s="1380">
        <f>SUM(J107:J108)</f>
        <v>0</v>
      </c>
      <c r="K106" s="1381">
        <f t="shared" ref="K106:K114" si="122">SUM(H106:J106)</f>
        <v>110000</v>
      </c>
      <c r="L106" s="1601">
        <f>SUM(L107:L108)</f>
        <v>47000</v>
      </c>
      <c r="M106" s="1303">
        <f>SUM(M107:M108)</f>
        <v>0</v>
      </c>
      <c r="N106" s="1304">
        <f>SUM(N107:N108)</f>
        <v>0</v>
      </c>
      <c r="O106" s="1336">
        <f t="shared" ref="O106" si="123">SUM(L106:N106)</f>
        <v>47000</v>
      </c>
      <c r="P106" s="1634">
        <f>SUM(P107:P108)</f>
        <v>0</v>
      </c>
      <c r="Q106" s="1321"/>
      <c r="R106" s="1322"/>
      <c r="S106" s="1336">
        <f>SUM(S107:S108)</f>
        <v>0</v>
      </c>
      <c r="T106" s="1634">
        <f>SUM(T107:T108)</f>
        <v>53000</v>
      </c>
      <c r="U106" s="1321"/>
      <c r="V106" s="1322"/>
      <c r="W106" s="1316">
        <f>SUM(W107:W108)</f>
        <v>53000</v>
      </c>
      <c r="X106" s="1578">
        <f t="shared" si="82"/>
        <v>112.7659574468085</v>
      </c>
      <c r="Y106" s="2457"/>
      <c r="Z106" s="1136"/>
      <c r="AA106" s="1136">
        <f>'[9]PRIH REBALANS'!$AK$431</f>
        <v>53000</v>
      </c>
      <c r="AB106" s="1293">
        <f t="shared" si="74"/>
        <v>0</v>
      </c>
      <c r="AC106" s="1293">
        <f t="shared" si="78"/>
        <v>0</v>
      </c>
      <c r="AD106" s="1293">
        <f t="shared" si="83"/>
        <v>6000</v>
      </c>
      <c r="AE106" s="1293">
        <f t="shared" si="75"/>
        <v>0</v>
      </c>
      <c r="AF106" s="1294"/>
      <c r="AG106" s="1294"/>
      <c r="AH106" s="1294">
        <f t="shared" si="76"/>
        <v>6000</v>
      </c>
      <c r="AI106" s="1294">
        <f t="shared" si="119"/>
        <v>0</v>
      </c>
      <c r="AJ106" s="1293">
        <f t="shared" si="84"/>
        <v>0</v>
      </c>
      <c r="AK106" s="1294"/>
      <c r="AL106" s="1294"/>
      <c r="AM106" s="1294"/>
      <c r="AN106" s="1294"/>
      <c r="AO106" s="1294"/>
      <c r="AP106" s="1294"/>
      <c r="AQ106" s="1294"/>
      <c r="AR106" s="1294">
        <f t="shared" si="114"/>
        <v>0</v>
      </c>
      <c r="AS106" s="1136">
        <f>SUM(W107:W108)</f>
        <v>53000</v>
      </c>
      <c r="AT106" s="668">
        <f t="shared" si="115"/>
        <v>0</v>
      </c>
      <c r="AU106" s="463">
        <f>W107+W108</f>
        <v>53000</v>
      </c>
      <c r="AV106" s="468">
        <f t="shared" si="120"/>
        <v>0</v>
      </c>
      <c r="AW106" s="468">
        <f t="shared" si="116"/>
        <v>53000</v>
      </c>
      <c r="AX106" s="463"/>
      <c r="AY106" s="463"/>
      <c r="AZ106" s="463"/>
      <c r="BA106" s="463"/>
      <c r="BB106" s="463"/>
      <c r="BC106" s="437">
        <f t="shared" si="121"/>
        <v>0</v>
      </c>
      <c r="BD106" s="437"/>
      <c r="BE106">
        <f t="shared" si="117"/>
        <v>112.7659574468085</v>
      </c>
      <c r="BF106" s="437">
        <f t="shared" si="118"/>
        <v>0</v>
      </c>
      <c r="BG106" s="209">
        <f>SUM(W107:W108)</f>
        <v>53000</v>
      </c>
    </row>
    <row r="107" spans="1:59" ht="39" customHeight="1">
      <c r="A107" s="1628"/>
      <c r="B107" s="1377"/>
      <c r="C107" s="1377"/>
      <c r="D107" s="1373">
        <v>111</v>
      </c>
      <c r="E107" s="1373"/>
      <c r="F107" s="1796" t="s">
        <v>209</v>
      </c>
      <c r="G107" s="1837" t="s">
        <v>210</v>
      </c>
      <c r="H107" s="1575">
        <v>77000</v>
      </c>
      <c r="I107" s="1575"/>
      <c r="J107" s="1575"/>
      <c r="K107" s="1374">
        <f t="shared" si="122"/>
        <v>77000</v>
      </c>
      <c r="L107" s="1577">
        <v>30000</v>
      </c>
      <c r="M107" s="1301"/>
      <c r="N107" s="1302"/>
      <c r="O107" s="1375">
        <f>SUM(L107:N107)</f>
        <v>30000</v>
      </c>
      <c r="P107" s="1623"/>
      <c r="Q107" s="1305"/>
      <c r="R107" s="1306"/>
      <c r="S107" s="1375">
        <f>SUM(P107:R107)</f>
        <v>0</v>
      </c>
      <c r="T107" s="1623">
        <v>35000</v>
      </c>
      <c r="U107" s="1305"/>
      <c r="V107" s="1306"/>
      <c r="W107" s="1375">
        <f>SUM(T107:V107)</f>
        <v>35000</v>
      </c>
      <c r="X107" s="1578">
        <f t="shared" si="82"/>
        <v>116.66666666666667</v>
      </c>
      <c r="Y107" s="2457"/>
      <c r="Z107" s="1136"/>
      <c r="AA107" s="1136"/>
      <c r="AB107" s="1293">
        <f t="shared" si="74"/>
        <v>0</v>
      </c>
      <c r="AC107" s="1293">
        <f t="shared" si="78"/>
        <v>0</v>
      </c>
      <c r="AD107" s="1293">
        <f t="shared" si="83"/>
        <v>5000</v>
      </c>
      <c r="AE107" s="1293">
        <f t="shared" si="75"/>
        <v>0</v>
      </c>
      <c r="AF107" s="1294"/>
      <c r="AG107" s="1294"/>
      <c r="AH107" s="1294">
        <f t="shared" si="76"/>
        <v>5000</v>
      </c>
      <c r="AI107" s="1294">
        <f t="shared" si="119"/>
        <v>0</v>
      </c>
      <c r="AJ107" s="1293">
        <f t="shared" si="84"/>
        <v>0</v>
      </c>
      <c r="AK107" s="1294"/>
      <c r="AL107" s="1294"/>
      <c r="AM107" s="1294"/>
      <c r="AN107" s="1294"/>
      <c r="AO107" s="1294"/>
      <c r="AP107" s="1294"/>
      <c r="AQ107" s="1294"/>
      <c r="AR107" s="1294">
        <f t="shared" si="114"/>
        <v>0</v>
      </c>
      <c r="AS107" s="1136"/>
      <c r="AT107" s="668">
        <f t="shared" si="115"/>
        <v>0</v>
      </c>
      <c r="AU107" s="463"/>
      <c r="AV107" s="468">
        <f t="shared" si="120"/>
        <v>0</v>
      </c>
      <c r="AW107" s="468">
        <f t="shared" si="116"/>
        <v>35000</v>
      </c>
      <c r="AX107" s="272"/>
      <c r="AY107" s="272"/>
      <c r="AZ107" s="272"/>
      <c r="BA107" s="272"/>
      <c r="BB107" s="272"/>
      <c r="BC107" s="437">
        <f t="shared" si="121"/>
        <v>0</v>
      </c>
      <c r="BD107" s="437"/>
      <c r="BE107">
        <f t="shared" si="117"/>
        <v>116.66666666666667</v>
      </c>
      <c r="BF107" s="437">
        <f t="shared" si="118"/>
        <v>0</v>
      </c>
    </row>
    <row r="108" spans="1:59" ht="39" customHeight="1">
      <c r="A108" s="1628"/>
      <c r="B108" s="1377"/>
      <c r="C108" s="1377"/>
      <c r="D108" s="1373">
        <v>111</v>
      </c>
      <c r="E108" s="1373"/>
      <c r="F108" s="1796" t="s">
        <v>211</v>
      </c>
      <c r="G108" s="1838" t="s">
        <v>659</v>
      </c>
      <c r="H108" s="1575">
        <v>33000</v>
      </c>
      <c r="I108" s="1380"/>
      <c r="J108" s="1380"/>
      <c r="K108" s="1374">
        <f t="shared" si="122"/>
        <v>33000</v>
      </c>
      <c r="L108" s="1577">
        <v>17000</v>
      </c>
      <c r="M108" s="1303"/>
      <c r="N108" s="1304"/>
      <c r="O108" s="1375">
        <f>SUM(L108:N108)</f>
        <v>17000</v>
      </c>
      <c r="P108" s="1623"/>
      <c r="Q108" s="1321"/>
      <c r="R108" s="1322"/>
      <c r="S108" s="1375">
        <f>SUM(P108:R108)</f>
        <v>0</v>
      </c>
      <c r="T108" s="1623">
        <v>18000</v>
      </c>
      <c r="U108" s="1321"/>
      <c r="V108" s="1322"/>
      <c r="W108" s="1375">
        <f>SUM(T108:V108)</f>
        <v>18000</v>
      </c>
      <c r="X108" s="1578">
        <f t="shared" si="82"/>
        <v>105.88235294117648</v>
      </c>
      <c r="Y108" s="2457"/>
      <c r="Z108" s="1136"/>
      <c r="AA108" s="1136"/>
      <c r="AB108" s="1293">
        <f t="shared" si="74"/>
        <v>0</v>
      </c>
      <c r="AC108" s="1293">
        <f t="shared" si="78"/>
        <v>0</v>
      </c>
      <c r="AD108" s="1293">
        <f t="shared" si="83"/>
        <v>1000</v>
      </c>
      <c r="AE108" s="1293">
        <f t="shared" si="75"/>
        <v>0</v>
      </c>
      <c r="AF108" s="1294"/>
      <c r="AG108" s="1294"/>
      <c r="AH108" s="1294">
        <f t="shared" si="76"/>
        <v>1000</v>
      </c>
      <c r="AI108" s="1294">
        <f t="shared" si="119"/>
        <v>0</v>
      </c>
      <c r="AJ108" s="1293">
        <f t="shared" si="84"/>
        <v>0</v>
      </c>
      <c r="AK108" s="1294"/>
      <c r="AL108" s="1294"/>
      <c r="AM108" s="1294"/>
      <c r="AN108" s="1294"/>
      <c r="AO108" s="1294"/>
      <c r="AP108" s="1294"/>
      <c r="AQ108" s="1294"/>
      <c r="AR108" s="1294">
        <f t="shared" si="114"/>
        <v>0</v>
      </c>
      <c r="AS108" s="1136"/>
      <c r="AT108" s="668">
        <f t="shared" si="115"/>
        <v>0</v>
      </c>
      <c r="AU108" s="463"/>
      <c r="AV108" s="468">
        <f t="shared" si="120"/>
        <v>0</v>
      </c>
      <c r="AW108" s="468">
        <f t="shared" si="116"/>
        <v>18000</v>
      </c>
      <c r="AX108" s="272"/>
      <c r="AY108" s="272"/>
      <c r="AZ108" s="272"/>
      <c r="BA108" s="272"/>
      <c r="BB108" s="272"/>
      <c r="BC108" s="437">
        <f t="shared" si="121"/>
        <v>0</v>
      </c>
      <c r="BD108" s="437"/>
      <c r="BE108">
        <f t="shared" si="117"/>
        <v>105.88235294117648</v>
      </c>
      <c r="BF108" s="437">
        <f t="shared" si="118"/>
        <v>0</v>
      </c>
    </row>
    <row r="109" spans="1:59" ht="39" customHeight="1">
      <c r="A109" s="1628"/>
      <c r="B109" s="1377"/>
      <c r="C109" s="1377"/>
      <c r="D109" s="1373">
        <v>111</v>
      </c>
      <c r="E109" s="1373"/>
      <c r="F109" s="1795">
        <v>611200</v>
      </c>
      <c r="G109" s="1836" t="s">
        <v>213</v>
      </c>
      <c r="H109" s="1380">
        <f>SUM(H110:H112)</f>
        <v>7710</v>
      </c>
      <c r="I109" s="1380">
        <f>SUM(I110:I112)</f>
        <v>0</v>
      </c>
      <c r="J109" s="1380">
        <f>SUM(J110:J112)</f>
        <v>0</v>
      </c>
      <c r="K109" s="1381">
        <f t="shared" si="122"/>
        <v>7710</v>
      </c>
      <c r="L109" s="1601">
        <f>SUM(L110:L112)</f>
        <v>7800</v>
      </c>
      <c r="M109" s="1303">
        <f>SUM(M110:M112)</f>
        <v>0</v>
      </c>
      <c r="N109" s="1304">
        <f>SUM(N110:N112)</f>
        <v>0</v>
      </c>
      <c r="O109" s="1336">
        <f t="shared" ref="O109" si="124">SUM(L109:N109)</f>
        <v>7800</v>
      </c>
      <c r="P109" s="1601">
        <f>SUM(P110:P112)</f>
        <v>0</v>
      </c>
      <c r="Q109" s="1303"/>
      <c r="R109" s="1304"/>
      <c r="S109" s="1336">
        <f>SUM(S110:S112)</f>
        <v>0</v>
      </c>
      <c r="T109" s="1601">
        <f>SUM(T110:T112)</f>
        <v>8600</v>
      </c>
      <c r="U109" s="1303"/>
      <c r="V109" s="1304"/>
      <c r="W109" s="1316">
        <f>SUM(W110:W112)</f>
        <v>8600</v>
      </c>
      <c r="X109" s="1578">
        <f t="shared" si="82"/>
        <v>110.25641025641026</v>
      </c>
      <c r="Y109" s="2457"/>
      <c r="Z109" s="1136"/>
      <c r="AA109" s="1136">
        <f>'[9]PRIH REBALANS'!$AK$434</f>
        <v>8600</v>
      </c>
      <c r="AB109" s="1293">
        <f t="shared" si="74"/>
        <v>0</v>
      </c>
      <c r="AC109" s="1293">
        <f t="shared" si="78"/>
        <v>0</v>
      </c>
      <c r="AD109" s="1293">
        <f t="shared" si="83"/>
        <v>800</v>
      </c>
      <c r="AE109" s="1293">
        <f t="shared" si="75"/>
        <v>0</v>
      </c>
      <c r="AF109" s="1294"/>
      <c r="AG109" s="1294"/>
      <c r="AH109" s="1294">
        <f t="shared" si="76"/>
        <v>800</v>
      </c>
      <c r="AI109" s="1294">
        <f t="shared" si="119"/>
        <v>0</v>
      </c>
      <c r="AJ109" s="1293">
        <f t="shared" si="84"/>
        <v>0</v>
      </c>
      <c r="AK109" s="1294"/>
      <c r="AL109" s="1294"/>
      <c r="AM109" s="1294"/>
      <c r="AN109" s="1294"/>
      <c r="AO109" s="1294"/>
      <c r="AP109" s="1294"/>
      <c r="AQ109" s="1294"/>
      <c r="AR109" s="1294">
        <f t="shared" si="114"/>
        <v>0</v>
      </c>
      <c r="AS109" s="1136">
        <f>SUM(W110:W112)</f>
        <v>8600</v>
      </c>
      <c r="AT109" s="668">
        <f t="shared" si="115"/>
        <v>0</v>
      </c>
      <c r="AU109" s="463">
        <f>SUM(W110:W112)</f>
        <v>8600</v>
      </c>
      <c r="AV109" s="468">
        <f t="shared" si="120"/>
        <v>0</v>
      </c>
      <c r="AW109" s="468">
        <f t="shared" si="116"/>
        <v>8600</v>
      </c>
      <c r="AX109" s="463"/>
      <c r="AY109" s="463"/>
      <c r="AZ109" s="463"/>
      <c r="BA109" s="463"/>
      <c r="BB109" s="463"/>
      <c r="BC109" s="437">
        <f t="shared" si="121"/>
        <v>0</v>
      </c>
      <c r="BD109" s="437"/>
      <c r="BE109">
        <f t="shared" si="117"/>
        <v>110.25641025641026</v>
      </c>
      <c r="BF109" s="437">
        <f t="shared" si="118"/>
        <v>0</v>
      </c>
      <c r="BG109" s="209">
        <f>SUM(W110:W112)</f>
        <v>8600</v>
      </c>
    </row>
    <row r="110" spans="1:59" ht="39" customHeight="1">
      <c r="A110" s="1628"/>
      <c r="B110" s="1629"/>
      <c r="C110" s="1629"/>
      <c r="D110" s="1383">
        <v>111</v>
      </c>
      <c r="E110" s="1383"/>
      <c r="F110" s="1805">
        <v>611211</v>
      </c>
      <c r="G110" s="1849" t="s">
        <v>660</v>
      </c>
      <c r="H110" s="1575">
        <v>300</v>
      </c>
      <c r="I110" s="1385"/>
      <c r="J110" s="1385"/>
      <c r="K110" s="1374">
        <f t="shared" si="122"/>
        <v>300</v>
      </c>
      <c r="L110" s="1577">
        <v>300</v>
      </c>
      <c r="M110" s="1305"/>
      <c r="N110" s="1306"/>
      <c r="O110" s="1375">
        <f>SUM(L110:N110)</f>
        <v>300</v>
      </c>
      <c r="P110" s="1577"/>
      <c r="Q110" s="1305"/>
      <c r="R110" s="1306"/>
      <c r="S110" s="1375">
        <f>SUM(P110:R110)</f>
        <v>0</v>
      </c>
      <c r="T110" s="1577">
        <v>600</v>
      </c>
      <c r="U110" s="1305"/>
      <c r="V110" s="1306"/>
      <c r="W110" s="1375">
        <f>SUM(T110:V110)</f>
        <v>600</v>
      </c>
      <c r="X110" s="1578">
        <f t="shared" si="82"/>
        <v>200</v>
      </c>
      <c r="Y110" s="2457"/>
      <c r="Z110" s="1136"/>
      <c r="AA110" s="1136"/>
      <c r="AB110" s="1293">
        <f t="shared" si="74"/>
        <v>0</v>
      </c>
      <c r="AC110" s="1293">
        <f t="shared" si="78"/>
        <v>0</v>
      </c>
      <c r="AD110" s="1293">
        <f t="shared" si="83"/>
        <v>300</v>
      </c>
      <c r="AE110" s="1293">
        <f t="shared" si="75"/>
        <v>0</v>
      </c>
      <c r="AF110" s="1294"/>
      <c r="AG110" s="1294"/>
      <c r="AH110" s="1294">
        <f t="shared" si="76"/>
        <v>300</v>
      </c>
      <c r="AI110" s="1294">
        <f t="shared" si="119"/>
        <v>0</v>
      </c>
      <c r="AJ110" s="1293">
        <f t="shared" si="84"/>
        <v>0</v>
      </c>
      <c r="AK110" s="1294"/>
      <c r="AL110" s="1294"/>
      <c r="AM110" s="1294"/>
      <c r="AN110" s="1294"/>
      <c r="AO110" s="1294"/>
      <c r="AP110" s="1294"/>
      <c r="AQ110" s="1294"/>
      <c r="AR110" s="1294">
        <f t="shared" si="114"/>
        <v>0</v>
      </c>
      <c r="AS110" s="1136"/>
      <c r="AT110" s="668">
        <f t="shared" si="115"/>
        <v>0</v>
      </c>
      <c r="AU110" s="463"/>
      <c r="AV110" s="468">
        <f t="shared" si="120"/>
        <v>0</v>
      </c>
      <c r="AW110" s="468">
        <f t="shared" si="116"/>
        <v>600</v>
      </c>
      <c r="AX110" s="463"/>
      <c r="AY110" s="463"/>
      <c r="AZ110" s="463"/>
      <c r="BA110" s="463"/>
      <c r="BB110" s="463"/>
      <c r="BC110" s="437">
        <f t="shared" si="121"/>
        <v>0</v>
      </c>
      <c r="BD110" s="437"/>
      <c r="BE110">
        <f t="shared" si="117"/>
        <v>200</v>
      </c>
      <c r="BF110" s="437">
        <f t="shared" si="118"/>
        <v>0</v>
      </c>
    </row>
    <row r="111" spans="1:59" ht="39" customHeight="1">
      <c r="A111" s="1628"/>
      <c r="B111" s="1629"/>
      <c r="C111" s="1629"/>
      <c r="D111" s="1383">
        <v>111</v>
      </c>
      <c r="E111" s="1383"/>
      <c r="F111" s="1806">
        <v>611221</v>
      </c>
      <c r="G111" s="1845" t="s">
        <v>661</v>
      </c>
      <c r="H111" s="1575">
        <v>6000</v>
      </c>
      <c r="I111" s="1385"/>
      <c r="J111" s="1385"/>
      <c r="K111" s="1374">
        <f t="shared" si="122"/>
        <v>6000</v>
      </c>
      <c r="L111" s="1577">
        <v>6000</v>
      </c>
      <c r="M111" s="1305"/>
      <c r="N111" s="1306"/>
      <c r="O111" s="1375">
        <f t="shared" ref="O111:O112" si="125">SUM(L111:N111)</f>
        <v>6000</v>
      </c>
      <c r="P111" s="1577"/>
      <c r="Q111" s="1305"/>
      <c r="R111" s="1306"/>
      <c r="S111" s="1375">
        <f t="shared" ref="S111:S112" si="126">SUM(P111:R111)</f>
        <v>0</v>
      </c>
      <c r="T111" s="1577">
        <v>6500</v>
      </c>
      <c r="U111" s="1305"/>
      <c r="V111" s="1306"/>
      <c r="W111" s="1375">
        <f t="shared" ref="W111:W112" si="127">SUM(T111:V111)</f>
        <v>6500</v>
      </c>
      <c r="X111" s="1578">
        <f t="shared" si="82"/>
        <v>108.33333333333333</v>
      </c>
      <c r="Y111" s="2457"/>
      <c r="Z111" s="1136"/>
      <c r="AA111" s="1136"/>
      <c r="AB111" s="1293">
        <f t="shared" si="74"/>
        <v>0</v>
      </c>
      <c r="AC111" s="1293">
        <f t="shared" si="78"/>
        <v>0</v>
      </c>
      <c r="AD111" s="1293">
        <f t="shared" si="83"/>
        <v>500</v>
      </c>
      <c r="AE111" s="1293">
        <f t="shared" si="75"/>
        <v>0</v>
      </c>
      <c r="AF111" s="1294"/>
      <c r="AG111" s="1294"/>
      <c r="AH111" s="1294">
        <f t="shared" si="76"/>
        <v>500</v>
      </c>
      <c r="AI111" s="1294">
        <f t="shared" si="119"/>
        <v>0</v>
      </c>
      <c r="AJ111" s="1293">
        <f t="shared" si="84"/>
        <v>0</v>
      </c>
      <c r="AK111" s="1294"/>
      <c r="AL111" s="1294"/>
      <c r="AM111" s="1294"/>
      <c r="AN111" s="1294"/>
      <c r="AO111" s="1294"/>
      <c r="AP111" s="1294"/>
      <c r="AQ111" s="1294"/>
      <c r="AR111" s="1294">
        <f t="shared" si="114"/>
        <v>0</v>
      </c>
      <c r="AS111" s="1136"/>
      <c r="AT111" s="668">
        <f t="shared" si="115"/>
        <v>0</v>
      </c>
      <c r="AU111" s="463"/>
      <c r="AV111" s="468">
        <f t="shared" si="120"/>
        <v>0</v>
      </c>
      <c r="AW111" s="468">
        <f t="shared" si="116"/>
        <v>6500</v>
      </c>
      <c r="AX111" s="272"/>
      <c r="AY111" s="272"/>
      <c r="AZ111" s="272"/>
      <c r="BA111" s="272"/>
      <c r="BB111" s="272"/>
      <c r="BC111" s="437">
        <f t="shared" si="121"/>
        <v>0</v>
      </c>
      <c r="BD111" s="437"/>
      <c r="BE111">
        <f t="shared" si="117"/>
        <v>108.33333333333333</v>
      </c>
      <c r="BF111" s="437">
        <f t="shared" si="118"/>
        <v>0</v>
      </c>
    </row>
    <row r="112" spans="1:59" ht="39" customHeight="1">
      <c r="A112" s="1628"/>
      <c r="B112" s="1629"/>
      <c r="C112" s="1629"/>
      <c r="D112" s="1383">
        <v>111</v>
      </c>
      <c r="E112" s="1383" t="s">
        <v>206</v>
      </c>
      <c r="F112" s="1806">
        <v>611224</v>
      </c>
      <c r="G112" s="1845" t="s">
        <v>214</v>
      </c>
      <c r="H112" s="1575">
        <v>1410</v>
      </c>
      <c r="I112" s="1385"/>
      <c r="J112" s="1385"/>
      <c r="K112" s="1374">
        <f t="shared" si="122"/>
        <v>1410</v>
      </c>
      <c r="L112" s="1577">
        <v>1500</v>
      </c>
      <c r="M112" s="1305"/>
      <c r="N112" s="1306"/>
      <c r="O112" s="1375">
        <f t="shared" si="125"/>
        <v>1500</v>
      </c>
      <c r="P112" s="1577"/>
      <c r="Q112" s="1305"/>
      <c r="R112" s="1306"/>
      <c r="S112" s="1375">
        <f t="shared" si="126"/>
        <v>0</v>
      </c>
      <c r="T112" s="1577">
        <v>1500</v>
      </c>
      <c r="U112" s="1305"/>
      <c r="V112" s="1306"/>
      <c r="W112" s="1375">
        <f t="shared" si="127"/>
        <v>1500</v>
      </c>
      <c r="X112" s="1578">
        <f t="shared" si="82"/>
        <v>100</v>
      </c>
      <c r="Y112" s="2457"/>
      <c r="Z112" s="1136"/>
      <c r="AA112" s="1136"/>
      <c r="AB112" s="1293">
        <f t="shared" si="74"/>
        <v>0</v>
      </c>
      <c r="AC112" s="1293">
        <f t="shared" si="78"/>
        <v>0</v>
      </c>
      <c r="AD112" s="1293">
        <f t="shared" si="83"/>
        <v>0</v>
      </c>
      <c r="AE112" s="1293">
        <f t="shared" si="75"/>
        <v>0</v>
      </c>
      <c r="AF112" s="1294"/>
      <c r="AG112" s="1294"/>
      <c r="AH112" s="1294">
        <f t="shared" si="76"/>
        <v>0</v>
      </c>
      <c r="AI112" s="1294">
        <f t="shared" si="119"/>
        <v>0</v>
      </c>
      <c r="AJ112" s="1293">
        <f t="shared" si="84"/>
        <v>0</v>
      </c>
      <c r="AK112" s="1294"/>
      <c r="AL112" s="1294"/>
      <c r="AM112" s="1294"/>
      <c r="AN112" s="1294"/>
      <c r="AO112" s="1294"/>
      <c r="AP112" s="1294"/>
      <c r="AQ112" s="1294"/>
      <c r="AR112" s="1294">
        <f t="shared" si="114"/>
        <v>0</v>
      </c>
      <c r="AS112" s="1136"/>
      <c r="AT112" s="668">
        <f t="shared" si="115"/>
        <v>0</v>
      </c>
      <c r="AU112" s="463"/>
      <c r="AV112" s="468">
        <f t="shared" si="120"/>
        <v>0</v>
      </c>
      <c r="AW112" s="468">
        <f t="shared" si="116"/>
        <v>1500</v>
      </c>
      <c r="AX112" s="272"/>
      <c r="AY112" s="272"/>
      <c r="AZ112" s="272"/>
      <c r="BA112" s="272"/>
      <c r="BB112" s="272"/>
      <c r="BC112" s="437">
        <f t="shared" si="121"/>
        <v>0</v>
      </c>
      <c r="BD112" s="437"/>
      <c r="BE112">
        <f t="shared" si="117"/>
        <v>100</v>
      </c>
      <c r="BF112" s="437">
        <f t="shared" si="118"/>
        <v>0</v>
      </c>
    </row>
    <row r="113" spans="1:59" ht="39" customHeight="1">
      <c r="A113" s="1628"/>
      <c r="B113" s="1629"/>
      <c r="C113" s="1629"/>
      <c r="D113" s="1383">
        <v>111</v>
      </c>
      <c r="E113" s="1383"/>
      <c r="F113" s="1802">
        <v>612000</v>
      </c>
      <c r="G113" s="1848" t="s">
        <v>216</v>
      </c>
      <c r="H113" s="1380">
        <f>H114</f>
        <v>11500</v>
      </c>
      <c r="I113" s="1380">
        <f>SUM(I114)</f>
        <v>0</v>
      </c>
      <c r="J113" s="1380">
        <f>SUM(J114)</f>
        <v>0</v>
      </c>
      <c r="K113" s="1381">
        <f t="shared" si="122"/>
        <v>11500</v>
      </c>
      <c r="L113" s="1601">
        <f>L114</f>
        <v>12000</v>
      </c>
      <c r="M113" s="1303">
        <f>SUM(M114)</f>
        <v>0</v>
      </c>
      <c r="N113" s="1304">
        <f>SUM(N114)</f>
        <v>0</v>
      </c>
      <c r="O113" s="1336">
        <f t="shared" ref="O113" si="128">SUM(L113:N113)</f>
        <v>12000</v>
      </c>
      <c r="P113" s="1601">
        <f>SUM(P114)</f>
        <v>0</v>
      </c>
      <c r="Q113" s="1303"/>
      <c r="R113" s="1304"/>
      <c r="S113" s="1336">
        <f>SUM(S114)</f>
        <v>0</v>
      </c>
      <c r="T113" s="1601">
        <f>SUM(T114)</f>
        <v>12000</v>
      </c>
      <c r="U113" s="1303"/>
      <c r="V113" s="1304"/>
      <c r="W113" s="1316">
        <f>SUM(W114)</f>
        <v>12000</v>
      </c>
      <c r="X113" s="1578">
        <f t="shared" si="82"/>
        <v>100</v>
      </c>
      <c r="Y113" s="2457"/>
      <c r="Z113" s="1136"/>
      <c r="AA113" s="1136">
        <f>'[9]PRIH REBALANS'!$AK$438</f>
        <v>12000</v>
      </c>
      <c r="AB113" s="1293">
        <f t="shared" si="74"/>
        <v>0</v>
      </c>
      <c r="AC113" s="1293">
        <f t="shared" si="78"/>
        <v>0</v>
      </c>
      <c r="AD113" s="1293">
        <f t="shared" si="83"/>
        <v>0</v>
      </c>
      <c r="AE113" s="1293">
        <f t="shared" si="75"/>
        <v>0</v>
      </c>
      <c r="AF113" s="1294"/>
      <c r="AG113" s="1294"/>
      <c r="AH113" s="1294">
        <f t="shared" si="76"/>
        <v>0</v>
      </c>
      <c r="AI113" s="1294">
        <f t="shared" si="119"/>
        <v>0</v>
      </c>
      <c r="AJ113" s="1293">
        <f t="shared" si="84"/>
        <v>0</v>
      </c>
      <c r="AK113" s="1294"/>
      <c r="AL113" s="1294"/>
      <c r="AM113" s="1294"/>
      <c r="AN113" s="1294"/>
      <c r="AO113" s="1294"/>
      <c r="AP113" s="1294"/>
      <c r="AQ113" s="1294"/>
      <c r="AR113" s="1294">
        <f t="shared" si="114"/>
        <v>0</v>
      </c>
      <c r="AS113" s="1136">
        <f>SUM(W114)</f>
        <v>12000</v>
      </c>
      <c r="AT113" s="668">
        <f t="shared" si="115"/>
        <v>0</v>
      </c>
      <c r="AU113" s="463">
        <f>W114</f>
        <v>12000</v>
      </c>
      <c r="AV113" s="468">
        <f t="shared" si="120"/>
        <v>0</v>
      </c>
      <c r="AW113" s="468">
        <f t="shared" si="116"/>
        <v>12000</v>
      </c>
      <c r="AX113" s="463"/>
      <c r="AY113" s="463"/>
      <c r="AZ113" s="463"/>
      <c r="BA113" s="463"/>
      <c r="BB113" s="463"/>
      <c r="BC113" s="437">
        <f t="shared" si="121"/>
        <v>0</v>
      </c>
      <c r="BD113" s="437"/>
      <c r="BE113">
        <f t="shared" si="117"/>
        <v>100</v>
      </c>
      <c r="BF113" s="437">
        <f t="shared" si="118"/>
        <v>0</v>
      </c>
      <c r="BG113" s="209">
        <f>W114</f>
        <v>12000</v>
      </c>
    </row>
    <row r="114" spans="1:59" ht="39" customHeight="1">
      <c r="A114" s="1638"/>
      <c r="B114" s="1639"/>
      <c r="C114" s="1639"/>
      <c r="D114" s="1383">
        <v>111</v>
      </c>
      <c r="E114" s="1383" t="s">
        <v>206</v>
      </c>
      <c r="F114" s="1805">
        <v>612110</v>
      </c>
      <c r="G114" s="1849" t="s">
        <v>217</v>
      </c>
      <c r="H114" s="1575">
        <v>11500</v>
      </c>
      <c r="I114" s="1635"/>
      <c r="J114" s="1635"/>
      <c r="K114" s="1374">
        <f t="shared" si="122"/>
        <v>11500</v>
      </c>
      <c r="L114" s="1577">
        <v>12000</v>
      </c>
      <c r="M114" s="1323"/>
      <c r="N114" s="1324"/>
      <c r="O114" s="1375">
        <f>SUM(L114:N114)</f>
        <v>12000</v>
      </c>
      <c r="P114" s="1577"/>
      <c r="Q114" s="1323"/>
      <c r="R114" s="1324"/>
      <c r="S114" s="1375">
        <f>SUM(P114:R114)</f>
        <v>0</v>
      </c>
      <c r="T114" s="1577">
        <v>12000</v>
      </c>
      <c r="U114" s="1323"/>
      <c r="V114" s="1324"/>
      <c r="W114" s="1375">
        <f>SUM(T114:V114)</f>
        <v>12000</v>
      </c>
      <c r="X114" s="1578">
        <f t="shared" si="82"/>
        <v>100</v>
      </c>
      <c r="Y114" s="2457"/>
      <c r="Z114" s="1136"/>
      <c r="AA114" s="1136"/>
      <c r="AB114" s="1293">
        <f t="shared" si="74"/>
        <v>0</v>
      </c>
      <c r="AC114" s="1293">
        <f t="shared" si="78"/>
        <v>0</v>
      </c>
      <c r="AD114" s="1293">
        <f t="shared" si="83"/>
        <v>0</v>
      </c>
      <c r="AE114" s="1293">
        <f t="shared" si="75"/>
        <v>0</v>
      </c>
      <c r="AF114" s="1294"/>
      <c r="AG114" s="1294"/>
      <c r="AH114" s="1294">
        <f t="shared" si="76"/>
        <v>0</v>
      </c>
      <c r="AI114" s="1294">
        <f t="shared" si="119"/>
        <v>0</v>
      </c>
      <c r="AJ114" s="1293">
        <f t="shared" si="84"/>
        <v>0</v>
      </c>
      <c r="AK114" s="1294"/>
      <c r="AL114" s="1294"/>
      <c r="AM114" s="1294"/>
      <c r="AN114" s="1294"/>
      <c r="AO114" s="1294"/>
      <c r="AP114" s="1294"/>
      <c r="AQ114" s="1294"/>
      <c r="AR114" s="1294">
        <f t="shared" si="114"/>
        <v>0</v>
      </c>
      <c r="AS114" s="1136"/>
      <c r="AT114" s="668">
        <f t="shared" si="115"/>
        <v>0</v>
      </c>
      <c r="AU114" s="463"/>
      <c r="AV114" s="468">
        <f t="shared" si="120"/>
        <v>0</v>
      </c>
      <c r="AW114" s="468">
        <f t="shared" si="116"/>
        <v>12000</v>
      </c>
      <c r="AX114" s="272"/>
      <c r="AY114" s="272"/>
      <c r="AZ114" s="272"/>
      <c r="BA114" s="272"/>
      <c r="BB114" s="272"/>
      <c r="BC114" s="437">
        <f t="shared" si="121"/>
        <v>0</v>
      </c>
      <c r="BD114" s="437"/>
      <c r="BE114">
        <f t="shared" si="117"/>
        <v>100</v>
      </c>
      <c r="BF114" s="437">
        <f t="shared" si="118"/>
        <v>0</v>
      </c>
    </row>
    <row r="115" spans="1:59" ht="39" customHeight="1">
      <c r="A115" s="1638"/>
      <c r="B115" s="1639"/>
      <c r="C115" s="1639"/>
      <c r="D115" s="1383">
        <v>111</v>
      </c>
      <c r="E115" s="1613"/>
      <c r="F115" s="1802">
        <v>613000</v>
      </c>
      <c r="G115" s="1848" t="s">
        <v>169</v>
      </c>
      <c r="H115" s="1380">
        <f t="shared" ref="H115:O115" si="129">SUM(H116:H120)</f>
        <v>20150</v>
      </c>
      <c r="I115" s="1380">
        <f t="shared" si="129"/>
        <v>0</v>
      </c>
      <c r="J115" s="1380">
        <f t="shared" si="129"/>
        <v>0</v>
      </c>
      <c r="K115" s="1381">
        <f t="shared" si="129"/>
        <v>20150</v>
      </c>
      <c r="L115" s="1601">
        <f t="shared" si="129"/>
        <v>13150</v>
      </c>
      <c r="M115" s="1303">
        <f t="shared" si="129"/>
        <v>0</v>
      </c>
      <c r="N115" s="1304">
        <f t="shared" si="129"/>
        <v>0</v>
      </c>
      <c r="O115" s="1336">
        <f t="shared" si="129"/>
        <v>13150</v>
      </c>
      <c r="P115" s="1601">
        <f>SUM(P116:P120)</f>
        <v>16150</v>
      </c>
      <c r="Q115" s="1303"/>
      <c r="R115" s="1304"/>
      <c r="S115" s="1336">
        <f>SUM(S116:S120)</f>
        <v>16150</v>
      </c>
      <c r="T115" s="1601">
        <f>SUM(T116:T120)</f>
        <v>14200</v>
      </c>
      <c r="U115" s="1303"/>
      <c r="V115" s="1304"/>
      <c r="W115" s="1316">
        <f>SUM(W116:W120)</f>
        <v>14200</v>
      </c>
      <c r="X115" s="1578">
        <f t="shared" si="82"/>
        <v>107.98479087452471</v>
      </c>
      <c r="Y115" s="2457">
        <f>'[1]PRIH REBALANS'!$AG$440</f>
        <v>14200</v>
      </c>
      <c r="Z115" s="1136"/>
      <c r="AA115" s="1136">
        <f>'[9]PRIH REBALANS'!$AK$440</f>
        <v>14200</v>
      </c>
      <c r="AB115" s="1293">
        <f t="shared" si="74"/>
        <v>0</v>
      </c>
      <c r="AC115" s="1293">
        <f t="shared" si="78"/>
        <v>0</v>
      </c>
      <c r="AD115" s="1293">
        <f t="shared" si="83"/>
        <v>1050</v>
      </c>
      <c r="AE115" s="1293">
        <f t="shared" si="75"/>
        <v>0</v>
      </c>
      <c r="AF115" s="1294"/>
      <c r="AG115" s="1294"/>
      <c r="AH115" s="1294">
        <f t="shared" si="76"/>
        <v>1050</v>
      </c>
      <c r="AI115" s="1294">
        <f t="shared" si="119"/>
        <v>0</v>
      </c>
      <c r="AJ115" s="1293">
        <f t="shared" si="84"/>
        <v>0</v>
      </c>
      <c r="AK115" s="1294"/>
      <c r="AL115" s="1294"/>
      <c r="AM115" s="1294"/>
      <c r="AN115" s="1294"/>
      <c r="AO115" s="1294"/>
      <c r="AP115" s="1294"/>
      <c r="AQ115" s="1294"/>
      <c r="AR115" s="1294">
        <f t="shared" si="114"/>
        <v>0</v>
      </c>
      <c r="AS115" s="1136">
        <f>SUM(W116:W120)</f>
        <v>14200</v>
      </c>
      <c r="AT115" s="668">
        <f t="shared" si="115"/>
        <v>0</v>
      </c>
      <c r="AU115" s="463">
        <f>SUM(W116:W120)</f>
        <v>14200</v>
      </c>
      <c r="AV115" s="468">
        <f t="shared" si="120"/>
        <v>0</v>
      </c>
      <c r="AW115" s="468">
        <f t="shared" si="116"/>
        <v>14200</v>
      </c>
      <c r="AX115" s="463"/>
      <c r="AY115" s="463"/>
      <c r="AZ115" s="463"/>
      <c r="BA115" s="463"/>
      <c r="BB115" s="463"/>
      <c r="BC115" s="437">
        <f t="shared" si="121"/>
        <v>0</v>
      </c>
      <c r="BD115" s="437"/>
      <c r="BE115">
        <f t="shared" si="117"/>
        <v>107.98479087452471</v>
      </c>
      <c r="BF115" s="437">
        <f t="shared" si="118"/>
        <v>0</v>
      </c>
      <c r="BG115" s="209">
        <f>SUM(W116:W120)</f>
        <v>14200</v>
      </c>
    </row>
    <row r="116" spans="1:59" ht="39" customHeight="1">
      <c r="A116" s="1624"/>
      <c r="B116" s="1625"/>
      <c r="C116" s="1625"/>
      <c r="D116" s="1383">
        <v>111</v>
      </c>
      <c r="E116" s="1384"/>
      <c r="F116" s="1805">
        <v>613100</v>
      </c>
      <c r="G116" s="1849" t="s">
        <v>170</v>
      </c>
      <c r="H116" s="1575">
        <v>1000</v>
      </c>
      <c r="I116" s="1386"/>
      <c r="J116" s="1386"/>
      <c r="K116" s="1374">
        <f>SUM(H116:J116)</f>
        <v>1000</v>
      </c>
      <c r="L116" s="1577">
        <v>1000</v>
      </c>
      <c r="M116" s="1307"/>
      <c r="N116" s="1308"/>
      <c r="O116" s="1375">
        <f>SUM(L116:N116)</f>
        <v>1000</v>
      </c>
      <c r="P116" s="1577">
        <v>1000</v>
      </c>
      <c r="Q116" s="1307"/>
      <c r="R116" s="1308"/>
      <c r="S116" s="1375">
        <f>SUM(P116:R116)</f>
        <v>1000</v>
      </c>
      <c r="T116" s="1577">
        <v>1000</v>
      </c>
      <c r="U116" s="1307"/>
      <c r="V116" s="1308"/>
      <c r="W116" s="1375">
        <f>SUM(T116:V116)</f>
        <v>1000</v>
      </c>
      <c r="X116" s="1578">
        <f t="shared" si="82"/>
        <v>100</v>
      </c>
      <c r="Y116" s="2457"/>
      <c r="Z116" s="1136"/>
      <c r="AA116" s="1136"/>
      <c r="AB116" s="1293">
        <f t="shared" si="74"/>
        <v>0</v>
      </c>
      <c r="AC116" s="1293">
        <f t="shared" si="78"/>
        <v>0</v>
      </c>
      <c r="AD116" s="1293">
        <f t="shared" si="83"/>
        <v>0</v>
      </c>
      <c r="AE116" s="1293">
        <f t="shared" si="75"/>
        <v>0</v>
      </c>
      <c r="AF116" s="1294"/>
      <c r="AG116" s="1294"/>
      <c r="AH116" s="1294">
        <f t="shared" si="76"/>
        <v>0</v>
      </c>
      <c r="AI116" s="1294">
        <f t="shared" si="119"/>
        <v>0</v>
      </c>
      <c r="AJ116" s="1293">
        <f t="shared" si="84"/>
        <v>0</v>
      </c>
      <c r="AK116" s="1294"/>
      <c r="AL116" s="1294"/>
      <c r="AM116" s="1294"/>
      <c r="AN116" s="1294"/>
      <c r="AO116" s="1294"/>
      <c r="AP116" s="1294"/>
      <c r="AQ116" s="1294"/>
      <c r="AR116" s="1294">
        <f t="shared" si="114"/>
        <v>0</v>
      </c>
      <c r="AS116" s="1136"/>
      <c r="AT116" s="668">
        <f t="shared" si="115"/>
        <v>0</v>
      </c>
      <c r="AU116" s="463"/>
      <c r="AV116" s="468">
        <f t="shared" si="120"/>
        <v>0</v>
      </c>
      <c r="AW116" s="468">
        <f t="shared" si="116"/>
        <v>1000</v>
      </c>
      <c r="AX116" s="272"/>
      <c r="AY116" s="272"/>
      <c r="AZ116" s="272"/>
      <c r="BA116" s="272"/>
      <c r="BB116" s="272"/>
      <c r="BC116" s="437">
        <f t="shared" si="121"/>
        <v>0</v>
      </c>
      <c r="BD116" s="437"/>
      <c r="BE116">
        <f t="shared" si="117"/>
        <v>100</v>
      </c>
      <c r="BF116" s="437">
        <f t="shared" si="118"/>
        <v>0</v>
      </c>
    </row>
    <row r="117" spans="1:59" ht="39" customHeight="1">
      <c r="A117" s="1624"/>
      <c r="B117" s="1625"/>
      <c r="C117" s="1625"/>
      <c r="D117" s="1383">
        <v>111</v>
      </c>
      <c r="E117" s="1384"/>
      <c r="F117" s="1805">
        <v>613300</v>
      </c>
      <c r="G117" s="1849" t="s">
        <v>262</v>
      </c>
      <c r="H117" s="1575">
        <v>1500</v>
      </c>
      <c r="I117" s="1386"/>
      <c r="J117" s="1386"/>
      <c r="K117" s="1374">
        <f>SUM(H117:J117)</f>
        <v>1500</v>
      </c>
      <c r="L117" s="1577">
        <v>1500</v>
      </c>
      <c r="M117" s="1307"/>
      <c r="N117" s="1308"/>
      <c r="O117" s="1375">
        <f t="shared" ref="O117:O119" si="130">SUM(L117:N117)</f>
        <v>1500</v>
      </c>
      <c r="P117" s="1577">
        <v>1500</v>
      </c>
      <c r="Q117" s="1307"/>
      <c r="R117" s="1308"/>
      <c r="S117" s="1375">
        <f t="shared" ref="S117:S119" si="131">SUM(P117:R117)</f>
        <v>1500</v>
      </c>
      <c r="T117" s="1577">
        <v>1500</v>
      </c>
      <c r="U117" s="1307"/>
      <c r="V117" s="1308"/>
      <c r="W117" s="1375">
        <f t="shared" ref="W117:W119" si="132">SUM(T117:V117)</f>
        <v>1500</v>
      </c>
      <c r="X117" s="1578">
        <f t="shared" si="82"/>
        <v>100</v>
      </c>
      <c r="Y117" s="2457"/>
      <c r="Z117" s="1136"/>
      <c r="AA117" s="1136"/>
      <c r="AB117" s="1293">
        <f t="shared" si="74"/>
        <v>0</v>
      </c>
      <c r="AC117" s="1293">
        <f t="shared" si="78"/>
        <v>0</v>
      </c>
      <c r="AD117" s="1293">
        <f t="shared" si="83"/>
        <v>0</v>
      </c>
      <c r="AE117" s="1293">
        <f t="shared" si="75"/>
        <v>0</v>
      </c>
      <c r="AF117" s="1294"/>
      <c r="AG117" s="1294"/>
      <c r="AH117" s="1294">
        <f t="shared" si="76"/>
        <v>0</v>
      </c>
      <c r="AI117" s="1294">
        <f t="shared" si="119"/>
        <v>0</v>
      </c>
      <c r="AJ117" s="1293">
        <f t="shared" si="84"/>
        <v>0</v>
      </c>
      <c r="AK117" s="1294"/>
      <c r="AL117" s="1294"/>
      <c r="AM117" s="1294"/>
      <c r="AN117" s="1294"/>
      <c r="AO117" s="1294"/>
      <c r="AP117" s="1294"/>
      <c r="AQ117" s="1294"/>
      <c r="AR117" s="1294">
        <f t="shared" si="114"/>
        <v>0</v>
      </c>
      <c r="AS117" s="1136"/>
      <c r="AT117" s="668">
        <f t="shared" si="115"/>
        <v>0</v>
      </c>
      <c r="AU117" s="463"/>
      <c r="AV117" s="468">
        <f t="shared" si="120"/>
        <v>0</v>
      </c>
      <c r="AW117" s="468">
        <f t="shared" si="116"/>
        <v>1500</v>
      </c>
      <c r="AX117" s="463"/>
      <c r="AY117" s="463"/>
      <c r="AZ117" s="463"/>
      <c r="BA117" s="463"/>
      <c r="BB117" s="463"/>
      <c r="BC117" s="437">
        <f t="shared" si="121"/>
        <v>0</v>
      </c>
      <c r="BD117" s="437"/>
      <c r="BE117">
        <f t="shared" si="117"/>
        <v>100</v>
      </c>
      <c r="BF117" s="437">
        <f t="shared" si="118"/>
        <v>0</v>
      </c>
    </row>
    <row r="118" spans="1:59" ht="39" customHeight="1">
      <c r="A118" s="1624"/>
      <c r="B118" s="1625"/>
      <c r="C118" s="1625"/>
      <c r="D118" s="1383">
        <v>111</v>
      </c>
      <c r="E118" s="1384"/>
      <c r="F118" s="1805">
        <v>613400</v>
      </c>
      <c r="G118" s="1849" t="s">
        <v>246</v>
      </c>
      <c r="H118" s="1575">
        <v>6000</v>
      </c>
      <c r="I118" s="1386"/>
      <c r="J118" s="1386"/>
      <c r="K118" s="1374">
        <f>SUM(H118:J118)</f>
        <v>6000</v>
      </c>
      <c r="L118" s="1577">
        <v>3000</v>
      </c>
      <c r="M118" s="1307"/>
      <c r="N118" s="1308"/>
      <c r="O118" s="1375">
        <f t="shared" si="130"/>
        <v>3000</v>
      </c>
      <c r="P118" s="1577">
        <v>3000</v>
      </c>
      <c r="Q118" s="1307"/>
      <c r="R118" s="1308"/>
      <c r="S118" s="1375">
        <f t="shared" si="131"/>
        <v>3000</v>
      </c>
      <c r="T118" s="1577">
        <v>3000</v>
      </c>
      <c r="U118" s="1307"/>
      <c r="V118" s="1308"/>
      <c r="W118" s="1375">
        <f t="shared" si="132"/>
        <v>3000</v>
      </c>
      <c r="X118" s="1578">
        <f t="shared" si="82"/>
        <v>100</v>
      </c>
      <c r="Y118" s="2457"/>
      <c r="Z118" s="1136"/>
      <c r="AA118" s="1136"/>
      <c r="AB118" s="1293">
        <f t="shared" si="74"/>
        <v>0</v>
      </c>
      <c r="AC118" s="1293">
        <f t="shared" si="78"/>
        <v>0</v>
      </c>
      <c r="AD118" s="1293">
        <f t="shared" si="83"/>
        <v>0</v>
      </c>
      <c r="AE118" s="1293">
        <f t="shared" si="75"/>
        <v>0</v>
      </c>
      <c r="AF118" s="1294"/>
      <c r="AG118" s="1294"/>
      <c r="AH118" s="1294">
        <f t="shared" si="76"/>
        <v>0</v>
      </c>
      <c r="AI118" s="1294">
        <f t="shared" si="119"/>
        <v>0</v>
      </c>
      <c r="AJ118" s="1293">
        <f t="shared" si="84"/>
        <v>0</v>
      </c>
      <c r="AK118" s="1294"/>
      <c r="AL118" s="1294"/>
      <c r="AM118" s="1294"/>
      <c r="AN118" s="1294"/>
      <c r="AO118" s="1294"/>
      <c r="AP118" s="1294"/>
      <c r="AQ118" s="1294"/>
      <c r="AR118" s="1294">
        <f t="shared" si="114"/>
        <v>0</v>
      </c>
      <c r="AS118" s="1136"/>
      <c r="AT118" s="668">
        <f t="shared" si="115"/>
        <v>0</v>
      </c>
      <c r="AU118" s="463"/>
      <c r="AV118" s="468">
        <f t="shared" si="120"/>
        <v>0</v>
      </c>
      <c r="AW118" s="468">
        <f t="shared" si="116"/>
        <v>3000</v>
      </c>
      <c r="AX118" s="272"/>
      <c r="AY118" s="272"/>
      <c r="AZ118" s="272"/>
      <c r="BA118" s="272"/>
      <c r="BB118" s="272"/>
      <c r="BC118" s="437">
        <f t="shared" si="121"/>
        <v>0</v>
      </c>
      <c r="BD118" s="437"/>
      <c r="BE118">
        <f t="shared" si="117"/>
        <v>100</v>
      </c>
      <c r="BF118" s="437">
        <f t="shared" si="118"/>
        <v>0</v>
      </c>
    </row>
    <row r="119" spans="1:59" ht="39" customHeight="1">
      <c r="A119" s="1624"/>
      <c r="B119" s="1625"/>
      <c r="C119" s="1625"/>
      <c r="D119" s="1383">
        <v>111</v>
      </c>
      <c r="E119" s="1384"/>
      <c r="F119" s="1805">
        <v>613500</v>
      </c>
      <c r="G119" s="1845" t="s">
        <v>677</v>
      </c>
      <c r="H119" s="1575">
        <v>2200</v>
      </c>
      <c r="I119" s="1386"/>
      <c r="J119" s="1386"/>
      <c r="K119" s="1374">
        <f>SUM(H119:J119)</f>
        <v>2200</v>
      </c>
      <c r="L119" s="1577">
        <v>2200</v>
      </c>
      <c r="M119" s="1307"/>
      <c r="N119" s="1308"/>
      <c r="O119" s="1375">
        <f t="shared" si="130"/>
        <v>2200</v>
      </c>
      <c r="P119" s="1577">
        <v>2200</v>
      </c>
      <c r="Q119" s="1307"/>
      <c r="R119" s="1308"/>
      <c r="S119" s="1375">
        <f t="shared" si="131"/>
        <v>2200</v>
      </c>
      <c r="T119" s="1577">
        <v>2200</v>
      </c>
      <c r="U119" s="1307"/>
      <c r="V119" s="1308"/>
      <c r="W119" s="1375">
        <f t="shared" si="132"/>
        <v>2200</v>
      </c>
      <c r="X119" s="1578">
        <f t="shared" si="82"/>
        <v>100</v>
      </c>
      <c r="Y119" s="2457"/>
      <c r="Z119" s="1136"/>
      <c r="AA119" s="1136"/>
      <c r="AB119" s="1293">
        <f t="shared" si="74"/>
        <v>0</v>
      </c>
      <c r="AC119" s="1293">
        <f t="shared" si="78"/>
        <v>0</v>
      </c>
      <c r="AD119" s="1293">
        <f t="shared" si="83"/>
        <v>0</v>
      </c>
      <c r="AE119" s="1293">
        <f t="shared" si="75"/>
        <v>0</v>
      </c>
      <c r="AF119" s="1294"/>
      <c r="AG119" s="1294"/>
      <c r="AH119" s="1294">
        <f t="shared" si="76"/>
        <v>0</v>
      </c>
      <c r="AI119" s="1294">
        <f t="shared" si="119"/>
        <v>0</v>
      </c>
      <c r="AJ119" s="1293">
        <f t="shared" si="84"/>
        <v>0</v>
      </c>
      <c r="AK119" s="1294"/>
      <c r="AL119" s="1294"/>
      <c r="AM119" s="1294"/>
      <c r="AN119" s="1294"/>
      <c r="AO119" s="1294"/>
      <c r="AP119" s="1294"/>
      <c r="AQ119" s="1294"/>
      <c r="AR119" s="1294">
        <f t="shared" si="114"/>
        <v>0</v>
      </c>
      <c r="AS119" s="1136"/>
      <c r="AT119" s="668">
        <f t="shared" si="115"/>
        <v>0</v>
      </c>
      <c r="AU119" s="463"/>
      <c r="AV119" s="468">
        <f t="shared" si="120"/>
        <v>0</v>
      </c>
      <c r="AW119" s="468">
        <f t="shared" si="116"/>
        <v>2200</v>
      </c>
      <c r="AX119" s="463"/>
      <c r="AY119" s="463"/>
      <c r="AZ119" s="463"/>
      <c r="BA119" s="463"/>
      <c r="BB119" s="463"/>
      <c r="BC119" s="437">
        <f t="shared" si="121"/>
        <v>0</v>
      </c>
      <c r="BD119" s="437"/>
      <c r="BE119">
        <f t="shared" si="117"/>
        <v>100</v>
      </c>
      <c r="BF119" s="437">
        <f t="shared" si="118"/>
        <v>0</v>
      </c>
    </row>
    <row r="120" spans="1:59" ht="39" customHeight="1">
      <c r="A120" s="1638"/>
      <c r="B120" s="1639"/>
      <c r="C120" s="1639"/>
      <c r="D120" s="1383">
        <v>111</v>
      </c>
      <c r="E120" s="1383" t="s">
        <v>206</v>
      </c>
      <c r="F120" s="1802">
        <v>613900</v>
      </c>
      <c r="G120" s="1848" t="s">
        <v>180</v>
      </c>
      <c r="H120" s="1635">
        <f t="shared" ref="H120:O120" si="133">SUM(H121:H125)</f>
        <v>9450</v>
      </c>
      <c r="I120" s="1635">
        <f t="shared" si="133"/>
        <v>0</v>
      </c>
      <c r="J120" s="1635">
        <f t="shared" si="133"/>
        <v>0</v>
      </c>
      <c r="K120" s="1381">
        <f t="shared" si="133"/>
        <v>9450</v>
      </c>
      <c r="L120" s="1636">
        <f t="shared" si="133"/>
        <v>5450</v>
      </c>
      <c r="M120" s="1323">
        <f t="shared" si="133"/>
        <v>0</v>
      </c>
      <c r="N120" s="1324">
        <f t="shared" si="133"/>
        <v>0</v>
      </c>
      <c r="O120" s="1336">
        <f t="shared" si="133"/>
        <v>5450</v>
      </c>
      <c r="P120" s="1636">
        <f>SUM(P121:P125)</f>
        <v>8450</v>
      </c>
      <c r="Q120" s="1323"/>
      <c r="R120" s="1324"/>
      <c r="S120" s="1336">
        <f>SUM(S121:S125)</f>
        <v>8450</v>
      </c>
      <c r="T120" s="1636">
        <f>SUM(T121:T125)</f>
        <v>6500</v>
      </c>
      <c r="U120" s="1323"/>
      <c r="V120" s="1324"/>
      <c r="W120" s="1316">
        <f>SUM(W121:W125)</f>
        <v>6500</v>
      </c>
      <c r="X120" s="1578">
        <f t="shared" si="82"/>
        <v>119.26605504587155</v>
      </c>
      <c r="Y120" s="2457">
        <f>'[1]PRIH REBALANS'!$AK$445</f>
        <v>6500</v>
      </c>
      <c r="Z120" s="1136"/>
      <c r="AA120" s="1136">
        <f>'[9]PRIH REBALANS'!$AK$445</f>
        <v>6500</v>
      </c>
      <c r="AB120" s="1293">
        <f t="shared" si="74"/>
        <v>0</v>
      </c>
      <c r="AC120" s="1293">
        <f t="shared" si="78"/>
        <v>0</v>
      </c>
      <c r="AD120" s="1293">
        <f t="shared" si="83"/>
        <v>1050</v>
      </c>
      <c r="AE120" s="1293">
        <f t="shared" si="75"/>
        <v>0</v>
      </c>
      <c r="AF120" s="1294"/>
      <c r="AG120" s="1294"/>
      <c r="AH120" s="1294">
        <f t="shared" si="76"/>
        <v>1050</v>
      </c>
      <c r="AI120" s="1294">
        <f t="shared" si="119"/>
        <v>0</v>
      </c>
      <c r="AJ120" s="1293">
        <f t="shared" si="84"/>
        <v>0</v>
      </c>
      <c r="AK120" s="1294"/>
      <c r="AL120" s="1294"/>
      <c r="AM120" s="1294"/>
      <c r="AN120" s="1294"/>
      <c r="AO120" s="1294"/>
      <c r="AP120" s="1294"/>
      <c r="AQ120" s="1294"/>
      <c r="AR120" s="1294">
        <f t="shared" si="114"/>
        <v>0</v>
      </c>
      <c r="AS120" s="1136">
        <f>SUM(W121:W125)</f>
        <v>6500</v>
      </c>
      <c r="AT120" s="668">
        <f t="shared" si="115"/>
        <v>0</v>
      </c>
      <c r="AU120" s="463">
        <f>SUM(W121:W125)</f>
        <v>6500</v>
      </c>
      <c r="AV120" s="468">
        <f t="shared" si="120"/>
        <v>0</v>
      </c>
      <c r="AW120" s="468">
        <f t="shared" si="116"/>
        <v>6500</v>
      </c>
      <c r="AX120" s="463"/>
      <c r="AY120" s="463"/>
      <c r="AZ120" s="463"/>
      <c r="BA120" s="463"/>
      <c r="BB120" s="463"/>
      <c r="BC120" s="437">
        <f t="shared" si="121"/>
        <v>0</v>
      </c>
      <c r="BD120" s="437"/>
      <c r="BE120">
        <f t="shared" si="117"/>
        <v>119.26605504587155</v>
      </c>
      <c r="BF120" s="437">
        <f t="shared" si="118"/>
        <v>0</v>
      </c>
      <c r="BG120" s="209">
        <f>SUM(W121:W125)</f>
        <v>6500</v>
      </c>
    </row>
    <row r="121" spans="1:59" ht="39" customHeight="1">
      <c r="A121" s="1624"/>
      <c r="B121" s="1625"/>
      <c r="C121" s="1625"/>
      <c r="D121" s="1383">
        <v>111</v>
      </c>
      <c r="E121" s="1384"/>
      <c r="F121" s="1805">
        <v>613914</v>
      </c>
      <c r="G121" s="1849" t="s">
        <v>224</v>
      </c>
      <c r="H121" s="1385">
        <v>1000</v>
      </c>
      <c r="I121" s="1386"/>
      <c r="J121" s="1386"/>
      <c r="K121" s="1374">
        <f>SUM(H121:J121)</f>
        <v>1000</v>
      </c>
      <c r="L121" s="1623">
        <v>1000</v>
      </c>
      <c r="M121" s="1307"/>
      <c r="N121" s="1308"/>
      <c r="O121" s="1375">
        <f>SUM(L121:N121)</f>
        <v>1000</v>
      </c>
      <c r="P121" s="1623">
        <v>1000</v>
      </c>
      <c r="Q121" s="1307"/>
      <c r="R121" s="1308"/>
      <c r="S121" s="1375">
        <f>SUM(P121:R121)</f>
        <v>1000</v>
      </c>
      <c r="T121" s="1623">
        <v>1000</v>
      </c>
      <c r="U121" s="1307"/>
      <c r="V121" s="1308"/>
      <c r="W121" s="1375">
        <f>SUM(T121:V121)</f>
        <v>1000</v>
      </c>
      <c r="X121" s="1578">
        <f t="shared" si="82"/>
        <v>100</v>
      </c>
      <c r="Y121" s="2457"/>
      <c r="Z121" s="1136"/>
      <c r="AA121" s="1136"/>
      <c r="AB121" s="1293">
        <f t="shared" si="74"/>
        <v>0</v>
      </c>
      <c r="AC121" s="1293">
        <f t="shared" si="78"/>
        <v>0</v>
      </c>
      <c r="AD121" s="1293">
        <f t="shared" si="83"/>
        <v>0</v>
      </c>
      <c r="AE121" s="1293">
        <f t="shared" si="75"/>
        <v>0</v>
      </c>
      <c r="AF121" s="1294"/>
      <c r="AG121" s="1294"/>
      <c r="AH121" s="1294">
        <f t="shared" si="76"/>
        <v>0</v>
      </c>
      <c r="AI121" s="1294">
        <f t="shared" si="119"/>
        <v>0</v>
      </c>
      <c r="AJ121" s="1293">
        <f t="shared" si="84"/>
        <v>0</v>
      </c>
      <c r="AK121" s="1294"/>
      <c r="AL121" s="1294"/>
      <c r="AM121" s="1294"/>
      <c r="AN121" s="1294"/>
      <c r="AO121" s="1294"/>
      <c r="AP121" s="1294"/>
      <c r="AQ121" s="1294"/>
      <c r="AR121" s="1294">
        <f t="shared" si="114"/>
        <v>0</v>
      </c>
      <c r="AS121" s="1136"/>
      <c r="AT121" s="668">
        <f t="shared" si="115"/>
        <v>0</v>
      </c>
      <c r="AU121" s="463"/>
      <c r="AV121" s="468">
        <f t="shared" si="120"/>
        <v>0</v>
      </c>
      <c r="AW121" s="468">
        <f t="shared" si="116"/>
        <v>1000</v>
      </c>
      <c r="AX121" s="463"/>
      <c r="AY121" s="463"/>
      <c r="AZ121" s="463"/>
      <c r="BA121" s="463"/>
      <c r="BB121" s="463"/>
      <c r="BC121" s="437">
        <f t="shared" si="121"/>
        <v>0</v>
      </c>
      <c r="BD121" s="437"/>
      <c r="BE121">
        <f t="shared" si="117"/>
        <v>100</v>
      </c>
      <c r="BF121" s="437">
        <f t="shared" si="118"/>
        <v>0</v>
      </c>
    </row>
    <row r="122" spans="1:59" ht="39" customHeight="1">
      <c r="A122" s="1624"/>
      <c r="B122" s="1625"/>
      <c r="C122" s="1625"/>
      <c r="D122" s="1383">
        <v>111</v>
      </c>
      <c r="E122" s="1384"/>
      <c r="F122" s="1805">
        <v>613920</v>
      </c>
      <c r="G122" s="1849" t="s">
        <v>248</v>
      </c>
      <c r="H122" s="1385">
        <v>6000</v>
      </c>
      <c r="I122" s="1386"/>
      <c r="J122" s="1386"/>
      <c r="K122" s="1374">
        <f>SUM(H122:J122)</f>
        <v>6000</v>
      </c>
      <c r="L122" s="1623">
        <v>2000</v>
      </c>
      <c r="M122" s="1307"/>
      <c r="N122" s="1308"/>
      <c r="O122" s="1375">
        <f t="shared" ref="O122:O125" si="134">SUM(L122:N122)</f>
        <v>2000</v>
      </c>
      <c r="P122" s="1623">
        <v>5000</v>
      </c>
      <c r="Q122" s="1307"/>
      <c r="R122" s="1308"/>
      <c r="S122" s="1375">
        <f t="shared" ref="S122:S125" si="135">SUM(P122:R122)</f>
        <v>5000</v>
      </c>
      <c r="T122" s="1623">
        <v>2000</v>
      </c>
      <c r="U122" s="1307"/>
      <c r="V122" s="1308"/>
      <c r="W122" s="1375">
        <f t="shared" ref="W122:W125" si="136">SUM(T122:V122)</f>
        <v>2000</v>
      </c>
      <c r="X122" s="1578">
        <f t="shared" si="82"/>
        <v>100</v>
      </c>
      <c r="Y122" s="2457"/>
      <c r="Z122" s="1136"/>
      <c r="AA122" s="1136"/>
      <c r="AB122" s="1293">
        <f t="shared" si="74"/>
        <v>0</v>
      </c>
      <c r="AC122" s="1293">
        <f t="shared" si="78"/>
        <v>0</v>
      </c>
      <c r="AD122" s="1293">
        <f t="shared" si="83"/>
        <v>0</v>
      </c>
      <c r="AE122" s="1293">
        <f t="shared" si="75"/>
        <v>0</v>
      </c>
      <c r="AF122" s="1294"/>
      <c r="AG122" s="1294"/>
      <c r="AH122" s="1294">
        <f t="shared" si="76"/>
        <v>0</v>
      </c>
      <c r="AI122" s="1294">
        <f t="shared" si="119"/>
        <v>0</v>
      </c>
      <c r="AJ122" s="1293">
        <f t="shared" si="84"/>
        <v>0</v>
      </c>
      <c r="AK122" s="1294"/>
      <c r="AL122" s="1294"/>
      <c r="AM122" s="1294"/>
      <c r="AN122" s="1294"/>
      <c r="AO122" s="1294"/>
      <c r="AP122" s="1294"/>
      <c r="AQ122" s="1294"/>
      <c r="AR122" s="1294">
        <f t="shared" si="114"/>
        <v>0</v>
      </c>
      <c r="AS122" s="1136"/>
      <c r="AT122" s="668">
        <f t="shared" si="115"/>
        <v>0</v>
      </c>
      <c r="AU122" s="463"/>
      <c r="AV122" s="468">
        <f t="shared" si="120"/>
        <v>0</v>
      </c>
      <c r="AW122" s="468">
        <f t="shared" si="116"/>
        <v>2000</v>
      </c>
      <c r="AX122" s="272"/>
      <c r="AY122" s="272"/>
      <c r="AZ122" s="272"/>
      <c r="BA122" s="272"/>
      <c r="BB122" s="272"/>
      <c r="BC122" s="437">
        <f t="shared" si="121"/>
        <v>0</v>
      </c>
      <c r="BD122" s="437"/>
      <c r="BE122">
        <f t="shared" si="117"/>
        <v>100</v>
      </c>
      <c r="BF122" s="437">
        <f t="shared" si="118"/>
        <v>0</v>
      </c>
    </row>
    <row r="123" spans="1:59" ht="39" customHeight="1">
      <c r="A123" s="1624"/>
      <c r="B123" s="1625"/>
      <c r="C123" s="1625"/>
      <c r="D123" s="1383">
        <v>111</v>
      </c>
      <c r="E123" s="1384"/>
      <c r="F123" s="1805">
        <v>613934</v>
      </c>
      <c r="G123" s="1849" t="s">
        <v>263</v>
      </c>
      <c r="H123" s="1385">
        <v>1000</v>
      </c>
      <c r="I123" s="1386"/>
      <c r="J123" s="1386"/>
      <c r="K123" s="1374">
        <f>SUM(H123:J123)</f>
        <v>1000</v>
      </c>
      <c r="L123" s="1623">
        <v>1000</v>
      </c>
      <c r="M123" s="1307"/>
      <c r="N123" s="1308"/>
      <c r="O123" s="1375">
        <f t="shared" si="134"/>
        <v>1000</v>
      </c>
      <c r="P123" s="1623">
        <v>1000</v>
      </c>
      <c r="Q123" s="1307"/>
      <c r="R123" s="1308"/>
      <c r="S123" s="1375">
        <f t="shared" si="135"/>
        <v>1000</v>
      </c>
      <c r="T123" s="1623">
        <v>1000</v>
      </c>
      <c r="U123" s="1307"/>
      <c r="V123" s="1308"/>
      <c r="W123" s="1375">
        <f t="shared" si="136"/>
        <v>1000</v>
      </c>
      <c r="X123" s="1578">
        <f t="shared" si="82"/>
        <v>100</v>
      </c>
      <c r="Y123" s="2457"/>
      <c r="Z123" s="1136"/>
      <c r="AA123" s="1136"/>
      <c r="AB123" s="1293">
        <f t="shared" si="74"/>
        <v>0</v>
      </c>
      <c r="AC123" s="1293">
        <f t="shared" si="78"/>
        <v>0</v>
      </c>
      <c r="AD123" s="1293">
        <f t="shared" si="83"/>
        <v>0</v>
      </c>
      <c r="AE123" s="1293">
        <f t="shared" si="75"/>
        <v>0</v>
      </c>
      <c r="AF123" s="1294"/>
      <c r="AG123" s="1294"/>
      <c r="AH123" s="1294">
        <f t="shared" si="76"/>
        <v>0</v>
      </c>
      <c r="AI123" s="1294">
        <f t="shared" si="119"/>
        <v>0</v>
      </c>
      <c r="AJ123" s="1293">
        <f t="shared" si="84"/>
        <v>0</v>
      </c>
      <c r="AK123" s="1294"/>
      <c r="AL123" s="1294"/>
      <c r="AM123" s="1294"/>
      <c r="AN123" s="1294"/>
      <c r="AO123" s="1294"/>
      <c r="AP123" s="1294"/>
      <c r="AQ123" s="1294"/>
      <c r="AR123" s="1294">
        <f t="shared" si="114"/>
        <v>0</v>
      </c>
      <c r="AS123" s="1136"/>
      <c r="AT123" s="668">
        <f t="shared" si="115"/>
        <v>0</v>
      </c>
      <c r="AU123" s="463"/>
      <c r="AV123" s="468">
        <f t="shared" si="120"/>
        <v>0</v>
      </c>
      <c r="AW123" s="468">
        <f t="shared" si="116"/>
        <v>1000</v>
      </c>
      <c r="AX123" s="463"/>
      <c r="AY123" s="463"/>
      <c r="AZ123" s="463"/>
      <c r="BA123" s="463"/>
      <c r="BB123" s="463"/>
      <c r="BC123" s="437">
        <f t="shared" si="121"/>
        <v>0</v>
      </c>
      <c r="BD123" s="437"/>
      <c r="BE123">
        <f t="shared" si="117"/>
        <v>100</v>
      </c>
      <c r="BF123" s="437">
        <f t="shared" si="118"/>
        <v>0</v>
      </c>
    </row>
    <row r="124" spans="1:59" ht="39" customHeight="1">
      <c r="A124" s="1638"/>
      <c r="B124" s="1639"/>
      <c r="C124" s="1639"/>
      <c r="D124" s="1383">
        <v>111</v>
      </c>
      <c r="E124" s="1613"/>
      <c r="F124" s="1805">
        <v>613983</v>
      </c>
      <c r="G124" s="1849" t="s">
        <v>703</v>
      </c>
      <c r="H124" s="1386">
        <v>450</v>
      </c>
      <c r="I124" s="1635"/>
      <c r="J124" s="1635"/>
      <c r="K124" s="1374">
        <f>SUM(H124:J124)</f>
        <v>450</v>
      </c>
      <c r="L124" s="1637">
        <v>450</v>
      </c>
      <c r="M124" s="1323"/>
      <c r="N124" s="1324"/>
      <c r="O124" s="1375">
        <f t="shared" si="134"/>
        <v>450</v>
      </c>
      <c r="P124" s="1637">
        <v>450</v>
      </c>
      <c r="Q124" s="1323"/>
      <c r="R124" s="1324"/>
      <c r="S124" s="1375">
        <f t="shared" si="135"/>
        <v>450</v>
      </c>
      <c r="T124" s="1637">
        <v>1500</v>
      </c>
      <c r="U124" s="1323"/>
      <c r="V124" s="1324"/>
      <c r="W124" s="1375">
        <f t="shared" si="136"/>
        <v>1500</v>
      </c>
      <c r="X124" s="1578">
        <f t="shared" si="82"/>
        <v>333.33333333333337</v>
      </c>
      <c r="Y124" s="2457"/>
      <c r="Z124" s="1136"/>
      <c r="AA124" s="1136"/>
      <c r="AB124" s="1293">
        <f t="shared" si="74"/>
        <v>0</v>
      </c>
      <c r="AC124" s="1293">
        <f t="shared" si="78"/>
        <v>0</v>
      </c>
      <c r="AD124" s="1293">
        <f t="shared" si="83"/>
        <v>1050</v>
      </c>
      <c r="AE124" s="1293">
        <f t="shared" si="75"/>
        <v>0</v>
      </c>
      <c r="AF124" s="1294"/>
      <c r="AG124" s="1294"/>
      <c r="AH124" s="1294">
        <f t="shared" si="76"/>
        <v>1050</v>
      </c>
      <c r="AI124" s="1294">
        <f t="shared" si="119"/>
        <v>0</v>
      </c>
      <c r="AJ124" s="1293">
        <f t="shared" si="84"/>
        <v>0</v>
      </c>
      <c r="AK124" s="1294"/>
      <c r="AL124" s="1294"/>
      <c r="AM124" s="1294"/>
      <c r="AN124" s="1294"/>
      <c r="AO124" s="1294"/>
      <c r="AP124" s="1294"/>
      <c r="AQ124" s="1294"/>
      <c r="AR124" s="1294">
        <f t="shared" si="114"/>
        <v>0</v>
      </c>
      <c r="AS124" s="1136"/>
      <c r="AT124" s="668">
        <f t="shared" si="115"/>
        <v>0</v>
      </c>
      <c r="AU124" s="463"/>
      <c r="AV124" s="468">
        <f t="shared" si="120"/>
        <v>0</v>
      </c>
      <c r="AW124" s="468">
        <f t="shared" si="116"/>
        <v>1500</v>
      </c>
      <c r="AX124" s="272"/>
      <c r="AY124" s="272"/>
      <c r="AZ124" s="272"/>
      <c r="BA124" s="272"/>
      <c r="BB124" s="272"/>
      <c r="BC124" s="437">
        <f t="shared" si="121"/>
        <v>0</v>
      </c>
      <c r="BD124" s="437"/>
      <c r="BE124">
        <f t="shared" si="117"/>
        <v>333.33333333333337</v>
      </c>
      <c r="BF124" s="437">
        <f t="shared" si="118"/>
        <v>0</v>
      </c>
    </row>
    <row r="125" spans="1:59" ht="39" customHeight="1">
      <c r="A125" s="1624"/>
      <c r="B125" s="1625"/>
      <c r="C125" s="1625"/>
      <c r="D125" s="1383">
        <v>111</v>
      </c>
      <c r="E125" s="1384"/>
      <c r="F125" s="1805">
        <v>613990</v>
      </c>
      <c r="G125" s="1849" t="s">
        <v>235</v>
      </c>
      <c r="H125" s="1385">
        <v>1000</v>
      </c>
      <c r="I125" s="1386"/>
      <c r="J125" s="1386"/>
      <c r="K125" s="1374">
        <f>SUM(H125:J125)</f>
        <v>1000</v>
      </c>
      <c r="L125" s="1623">
        <v>1000</v>
      </c>
      <c r="M125" s="1307"/>
      <c r="N125" s="1308"/>
      <c r="O125" s="1375">
        <f t="shared" si="134"/>
        <v>1000</v>
      </c>
      <c r="P125" s="1623">
        <v>1000</v>
      </c>
      <c r="Q125" s="1307"/>
      <c r="R125" s="1308"/>
      <c r="S125" s="1375">
        <f t="shared" si="135"/>
        <v>1000</v>
      </c>
      <c r="T125" s="1623">
        <v>1000</v>
      </c>
      <c r="U125" s="1307"/>
      <c r="V125" s="1308"/>
      <c r="W125" s="1375">
        <f t="shared" si="136"/>
        <v>1000</v>
      </c>
      <c r="X125" s="1578">
        <f t="shared" si="82"/>
        <v>100</v>
      </c>
      <c r="Y125" s="2457"/>
      <c r="Z125" s="1136"/>
      <c r="AA125" s="1136"/>
      <c r="AB125" s="1293">
        <f t="shared" si="74"/>
        <v>0</v>
      </c>
      <c r="AC125" s="1293">
        <f t="shared" si="78"/>
        <v>0</v>
      </c>
      <c r="AD125" s="1293">
        <f t="shared" si="83"/>
        <v>0</v>
      </c>
      <c r="AE125" s="1293">
        <f t="shared" si="75"/>
        <v>0</v>
      </c>
      <c r="AF125" s="1294"/>
      <c r="AG125" s="1294"/>
      <c r="AH125" s="1294">
        <f t="shared" si="76"/>
        <v>0</v>
      </c>
      <c r="AI125" s="1294">
        <f t="shared" si="119"/>
        <v>0</v>
      </c>
      <c r="AJ125" s="1293">
        <f t="shared" si="84"/>
        <v>0</v>
      </c>
      <c r="AK125" s="1294"/>
      <c r="AL125" s="1294"/>
      <c r="AM125" s="1294"/>
      <c r="AN125" s="1294"/>
      <c r="AO125" s="1294"/>
      <c r="AP125" s="1294"/>
      <c r="AQ125" s="1294"/>
      <c r="AR125" s="1294">
        <f t="shared" si="114"/>
        <v>0</v>
      </c>
      <c r="AS125" s="1136"/>
      <c r="AT125" s="668">
        <f t="shared" si="115"/>
        <v>0</v>
      </c>
      <c r="AU125" s="463"/>
      <c r="AV125" s="468">
        <f t="shared" si="120"/>
        <v>0</v>
      </c>
      <c r="AW125" s="468">
        <f t="shared" si="116"/>
        <v>1000</v>
      </c>
      <c r="AX125" s="272"/>
      <c r="AY125" s="272"/>
      <c r="AZ125" s="272"/>
      <c r="BA125" s="272"/>
      <c r="BB125" s="272"/>
      <c r="BC125" s="437">
        <f t="shared" si="121"/>
        <v>0</v>
      </c>
      <c r="BD125" s="437"/>
      <c r="BE125">
        <f t="shared" si="117"/>
        <v>100</v>
      </c>
      <c r="BF125" s="437">
        <f t="shared" si="118"/>
        <v>0</v>
      </c>
    </row>
    <row r="126" spans="1:59" ht="39" hidden="1" customHeight="1">
      <c r="A126" s="1638"/>
      <c r="B126" s="1639"/>
      <c r="C126" s="1639"/>
      <c r="D126" s="1613"/>
      <c r="E126" s="1613" t="s">
        <v>206</v>
      </c>
      <c r="F126" s="1802">
        <v>821000</v>
      </c>
      <c r="G126" s="1844" t="s">
        <v>236</v>
      </c>
      <c r="H126" s="1599">
        <f t="shared" ref="H126:J126" si="137">SUM(H127)</f>
        <v>5000</v>
      </c>
      <c r="I126" s="1599">
        <f t="shared" si="137"/>
        <v>0</v>
      </c>
      <c r="J126" s="1599">
        <f t="shared" si="137"/>
        <v>0</v>
      </c>
      <c r="K126" s="1381">
        <f>SUM(K127)</f>
        <v>5000</v>
      </c>
      <c r="L126" s="1634">
        <f t="shared" ref="L126" si="138">SUM(L127)</f>
        <v>0</v>
      </c>
      <c r="M126" s="1321"/>
      <c r="N126" s="1322"/>
      <c r="O126" s="1480">
        <f t="shared" ref="O126" si="139">SUM(O127)</f>
        <v>0</v>
      </c>
      <c r="P126" s="1634"/>
      <c r="Q126" s="1321"/>
      <c r="R126" s="1322"/>
      <c r="S126" s="1336"/>
      <c r="T126" s="1634"/>
      <c r="U126" s="1321"/>
      <c r="V126" s="1322"/>
      <c r="W126" s="1316"/>
      <c r="X126" s="1578" t="e">
        <f t="shared" si="82"/>
        <v>#DIV/0!</v>
      </c>
      <c r="Y126" s="2457"/>
      <c r="Z126" s="1136"/>
      <c r="AA126" s="1136"/>
      <c r="AB126" s="1293">
        <f t="shared" si="74"/>
        <v>0</v>
      </c>
      <c r="AC126" s="1293">
        <f t="shared" si="78"/>
        <v>0</v>
      </c>
      <c r="AD126" s="1293">
        <f t="shared" si="83"/>
        <v>0</v>
      </c>
      <c r="AE126" s="1293">
        <f t="shared" si="75"/>
        <v>0</v>
      </c>
      <c r="AF126" s="1294"/>
      <c r="AG126" s="1294"/>
      <c r="AH126" s="1294">
        <f t="shared" si="76"/>
        <v>0</v>
      </c>
      <c r="AI126" s="1294">
        <f t="shared" si="119"/>
        <v>0</v>
      </c>
      <c r="AJ126" s="1293">
        <f t="shared" si="84"/>
        <v>0</v>
      </c>
      <c r="AK126" s="1294"/>
      <c r="AL126" s="1294"/>
      <c r="AM126" s="1294"/>
      <c r="AN126" s="1294"/>
      <c r="AO126" s="1294"/>
      <c r="AP126" s="1294"/>
      <c r="AQ126" s="1294"/>
      <c r="AR126" s="1294">
        <f t="shared" si="114"/>
        <v>0</v>
      </c>
      <c r="AS126" s="1136"/>
      <c r="AT126" s="668">
        <f t="shared" si="115"/>
        <v>0</v>
      </c>
      <c r="AU126" s="463"/>
      <c r="AV126" s="468">
        <f t="shared" si="120"/>
        <v>0</v>
      </c>
      <c r="AW126" s="468">
        <f t="shared" si="116"/>
        <v>0</v>
      </c>
      <c r="AX126" s="463"/>
      <c r="AY126" s="463"/>
      <c r="AZ126" s="463"/>
      <c r="BA126" s="463"/>
      <c r="BB126" s="463"/>
      <c r="BC126" s="437">
        <f t="shared" si="121"/>
        <v>0</v>
      </c>
      <c r="BD126" s="437"/>
      <c r="BE126" t="e">
        <f t="shared" si="117"/>
        <v>#DIV/0!</v>
      </c>
      <c r="BF126" s="437" t="e">
        <f t="shared" si="118"/>
        <v>#DIV/0!</v>
      </c>
    </row>
    <row r="127" spans="1:59" ht="39" hidden="1" customHeight="1">
      <c r="A127" s="1624"/>
      <c r="B127" s="1625"/>
      <c r="C127" s="1625"/>
      <c r="D127" s="1384"/>
      <c r="E127" s="1613"/>
      <c r="F127" s="1805" t="s">
        <v>264</v>
      </c>
      <c r="G127" s="1845" t="s">
        <v>265</v>
      </c>
      <c r="H127" s="1575">
        <v>5000</v>
      </c>
      <c r="I127" s="1386"/>
      <c r="J127" s="1386"/>
      <c r="K127" s="1374">
        <f>SUM(H127:J127)</f>
        <v>5000</v>
      </c>
      <c r="L127" s="1577"/>
      <c r="M127" s="1307"/>
      <c r="N127" s="1308"/>
      <c r="O127" s="1375"/>
      <c r="P127" s="1577"/>
      <c r="Q127" s="1307"/>
      <c r="R127" s="1308"/>
      <c r="S127" s="1375"/>
      <c r="T127" s="1577"/>
      <c r="U127" s="1307"/>
      <c r="V127" s="1308"/>
      <c r="W127" s="1325"/>
      <c r="X127" s="1578" t="e">
        <f t="shared" si="82"/>
        <v>#DIV/0!</v>
      </c>
      <c r="Y127" s="2457"/>
      <c r="Z127" s="1136"/>
      <c r="AA127" s="1136"/>
      <c r="AB127" s="1293">
        <f t="shared" si="74"/>
        <v>0</v>
      </c>
      <c r="AC127" s="1293">
        <f t="shared" si="78"/>
        <v>0</v>
      </c>
      <c r="AD127" s="1293">
        <f t="shared" si="83"/>
        <v>0</v>
      </c>
      <c r="AE127" s="1293">
        <f t="shared" si="75"/>
        <v>0</v>
      </c>
      <c r="AF127" s="1294"/>
      <c r="AG127" s="1294"/>
      <c r="AH127" s="1294">
        <f t="shared" si="76"/>
        <v>0</v>
      </c>
      <c r="AI127" s="1294">
        <f t="shared" si="119"/>
        <v>0</v>
      </c>
      <c r="AJ127" s="1293">
        <f t="shared" si="84"/>
        <v>0</v>
      </c>
      <c r="AK127" s="1294"/>
      <c r="AL127" s="1294"/>
      <c r="AM127" s="1294"/>
      <c r="AN127" s="1294"/>
      <c r="AO127" s="1294"/>
      <c r="AP127" s="1294"/>
      <c r="AQ127" s="1294"/>
      <c r="AR127" s="1294">
        <f t="shared" si="114"/>
        <v>0</v>
      </c>
      <c r="AS127" s="1136"/>
      <c r="AT127" s="668">
        <f t="shared" si="115"/>
        <v>0</v>
      </c>
      <c r="AU127" s="463"/>
      <c r="AV127" s="468">
        <f t="shared" si="120"/>
        <v>0</v>
      </c>
      <c r="AW127" s="468">
        <f t="shared" si="116"/>
        <v>0</v>
      </c>
      <c r="AX127" s="463"/>
      <c r="AY127" s="463"/>
      <c r="AZ127" s="463"/>
      <c r="BA127" s="463"/>
      <c r="BB127" s="463"/>
      <c r="BC127" s="437">
        <f t="shared" si="121"/>
        <v>0</v>
      </c>
      <c r="BD127" s="437"/>
      <c r="BE127" t="e">
        <f t="shared" si="117"/>
        <v>#DIV/0!</v>
      </c>
      <c r="BF127" s="437" t="e">
        <f t="shared" si="118"/>
        <v>#DIV/0!</v>
      </c>
    </row>
    <row r="128" spans="1:59" ht="99" customHeight="1">
      <c r="A128" s="1594" t="s">
        <v>269</v>
      </c>
      <c r="B128" s="1595" t="s">
        <v>204</v>
      </c>
      <c r="C128" s="1595" t="s">
        <v>205</v>
      </c>
      <c r="D128" s="1596">
        <v>111</v>
      </c>
      <c r="E128" s="1596"/>
      <c r="F128" s="1804"/>
      <c r="G128" s="1853" t="s">
        <v>678</v>
      </c>
      <c r="H128" s="1619" t="e">
        <f t="shared" ref="H128:O128" si="140">SUM(H130,H169)</f>
        <v>#REF!</v>
      </c>
      <c r="I128" s="1619">
        <f t="shared" si="140"/>
        <v>6586892</v>
      </c>
      <c r="J128" s="1619">
        <f t="shared" si="140"/>
        <v>184957</v>
      </c>
      <c r="K128" s="1640" t="e">
        <f t="shared" si="140"/>
        <v>#REF!</v>
      </c>
      <c r="L128" s="1620">
        <f t="shared" si="140"/>
        <v>8527726</v>
      </c>
      <c r="M128" s="1313">
        <f t="shared" si="140"/>
        <v>6571245</v>
      </c>
      <c r="N128" s="1314">
        <f t="shared" si="140"/>
        <v>164090</v>
      </c>
      <c r="O128" s="1475">
        <f t="shared" si="140"/>
        <v>15263061</v>
      </c>
      <c r="P128" s="1620">
        <f>SUM(P130+P170)</f>
        <v>1914000</v>
      </c>
      <c r="Q128" s="1313">
        <f>SUM(Q170)</f>
        <v>393350</v>
      </c>
      <c r="R128" s="1314"/>
      <c r="S128" s="1475">
        <f>SUM(S130+S170)</f>
        <v>3740350</v>
      </c>
      <c r="T128" s="1620">
        <f>SUM(T130+T169)</f>
        <v>8807500</v>
      </c>
      <c r="U128" s="1313">
        <f t="shared" ref="U128:V128" si="141">SUM(U130+U169)</f>
        <v>1847800</v>
      </c>
      <c r="V128" s="1314">
        <f t="shared" si="141"/>
        <v>0</v>
      </c>
      <c r="W128" s="1326">
        <f>SUM(W130,W169)</f>
        <v>10655300</v>
      </c>
      <c r="X128" s="1641">
        <f t="shared" si="82"/>
        <v>69.811029386569317</v>
      </c>
      <c r="Y128" s="2458">
        <f>'[1]PRIH REBALANS'!$AK$453</f>
        <v>10655300</v>
      </c>
      <c r="Z128" s="1139"/>
      <c r="AA128" s="1139">
        <f>'[9]PRIH REBALANS'!$AL$453</f>
        <v>10655300</v>
      </c>
      <c r="AB128" s="1293">
        <f t="shared" si="74"/>
        <v>0</v>
      </c>
      <c r="AC128" s="1293">
        <f t="shared" si="78"/>
        <v>0</v>
      </c>
      <c r="AD128" s="1293">
        <f t="shared" si="83"/>
        <v>-4607761</v>
      </c>
      <c r="AE128" s="1293">
        <f t="shared" si="75"/>
        <v>0</v>
      </c>
      <c r="AF128" s="1295"/>
      <c r="AG128" s="1295"/>
      <c r="AH128" s="1294">
        <f t="shared" si="76"/>
        <v>279774</v>
      </c>
      <c r="AI128" s="1294">
        <f t="shared" si="119"/>
        <v>0</v>
      </c>
      <c r="AJ128" s="1293">
        <f t="shared" si="84"/>
        <v>0</v>
      </c>
      <c r="AK128" s="1294"/>
      <c r="AL128" s="1294"/>
      <c r="AM128" s="1294"/>
      <c r="AN128" s="1294"/>
      <c r="AO128" s="1294"/>
      <c r="AP128" s="1294"/>
      <c r="AQ128" s="1294"/>
      <c r="AR128" s="1294">
        <f t="shared" si="114"/>
        <v>0</v>
      </c>
      <c r="AS128" s="1135">
        <f>SUM(AS132,AS135,AS141,AS143,W161:W162,W169)</f>
        <v>10655300</v>
      </c>
      <c r="AT128" s="668">
        <f t="shared" si="115"/>
        <v>0</v>
      </c>
      <c r="AU128" s="668">
        <f>SUM(AU132,AU135,AU141,AU143,W161:W162,AU169)</f>
        <v>10377300</v>
      </c>
      <c r="AV128" s="468">
        <f>'[3]PRIH REBALANS'!$AK$472</f>
        <v>15263060</v>
      </c>
      <c r="AW128" s="468">
        <f t="shared" si="116"/>
        <v>-4607760</v>
      </c>
      <c r="AX128" s="673"/>
      <c r="AY128" s="673"/>
      <c r="AZ128" s="673"/>
      <c r="BA128" s="673"/>
      <c r="BB128" s="673"/>
      <c r="BC128" s="437">
        <f>'[2]PRIH REBALANS'!$AK$472</f>
        <v>15263060</v>
      </c>
      <c r="BD128" s="437">
        <f t="shared" ref="BD128:BD136" si="142">BC128-W128</f>
        <v>4607760</v>
      </c>
      <c r="BE128">
        <f t="shared" si="117"/>
        <v>69.811029386569317</v>
      </c>
      <c r="BF128" s="437">
        <f t="shared" si="118"/>
        <v>0</v>
      </c>
      <c r="BG128" s="469">
        <f>SUM(BG132:BG143,W161:W162,BH169)</f>
        <v>10377300</v>
      </c>
    </row>
    <row r="129" spans="1:59" ht="39" customHeight="1">
      <c r="A129" s="1594"/>
      <c r="B129" s="1595"/>
      <c r="C129" s="1595"/>
      <c r="D129" s="1596"/>
      <c r="E129" s="1596"/>
      <c r="F129" s="1804"/>
      <c r="G129" s="1854" t="s">
        <v>268</v>
      </c>
      <c r="H129" s="1619">
        <v>250</v>
      </c>
      <c r="I129" s="1619"/>
      <c r="J129" s="1619"/>
      <c r="K129" s="1640"/>
      <c r="L129" s="1620"/>
      <c r="M129" s="1313"/>
      <c r="N129" s="1314"/>
      <c r="O129" s="1475"/>
      <c r="P129" s="1620"/>
      <c r="Q129" s="1313"/>
      <c r="R129" s="1314"/>
      <c r="S129" s="1475"/>
      <c r="T129" s="1620">
        <v>250</v>
      </c>
      <c r="U129" s="1313"/>
      <c r="V129" s="1314"/>
      <c r="W129" s="1326"/>
      <c r="X129" s="1641"/>
      <c r="Y129" s="2458"/>
      <c r="Z129" s="1139"/>
      <c r="AA129" s="1139"/>
      <c r="AB129" s="1293">
        <f t="shared" si="74"/>
        <v>250</v>
      </c>
      <c r="AC129" s="1293">
        <f t="shared" si="78"/>
        <v>250</v>
      </c>
      <c r="AD129" s="1293">
        <f t="shared" si="83"/>
        <v>0</v>
      </c>
      <c r="AE129" s="1293">
        <f t="shared" si="75"/>
        <v>250</v>
      </c>
      <c r="AF129" s="1295"/>
      <c r="AG129" s="1295"/>
      <c r="AH129" s="1294">
        <f t="shared" si="76"/>
        <v>250</v>
      </c>
      <c r="AI129" s="1294">
        <f t="shared" si="119"/>
        <v>250</v>
      </c>
      <c r="AJ129" s="1293">
        <f t="shared" si="84"/>
        <v>250</v>
      </c>
      <c r="AK129" s="1294"/>
      <c r="AL129" s="1294"/>
      <c r="AM129" s="1294"/>
      <c r="AN129" s="1294"/>
      <c r="AO129" s="1294"/>
      <c r="AP129" s="1294"/>
      <c r="AQ129" s="1294"/>
      <c r="AR129" s="1294">
        <f t="shared" si="114"/>
        <v>250</v>
      </c>
      <c r="AS129" s="1135"/>
      <c r="AT129" s="668">
        <f t="shared" si="115"/>
        <v>250</v>
      </c>
      <c r="AU129" s="668"/>
      <c r="AV129" s="468">
        <f>T129+U129+V129-W129</f>
        <v>250</v>
      </c>
      <c r="AW129" s="468">
        <f t="shared" si="116"/>
        <v>-250</v>
      </c>
      <c r="AX129" s="673"/>
      <c r="AY129" s="673"/>
      <c r="AZ129" s="673"/>
      <c r="BA129" s="673"/>
      <c r="BB129" s="673"/>
      <c r="BC129" s="437">
        <f>T129+U129+V129+-W129</f>
        <v>250</v>
      </c>
      <c r="BD129" s="437">
        <f t="shared" si="142"/>
        <v>250</v>
      </c>
      <c r="BE129" t="e">
        <f t="shared" si="117"/>
        <v>#DIV/0!</v>
      </c>
      <c r="BF129" s="437" t="e">
        <f t="shared" si="118"/>
        <v>#DIV/0!</v>
      </c>
    </row>
    <row r="130" spans="1:59" ht="39" customHeight="1">
      <c r="A130" s="1572"/>
      <c r="B130" s="1377"/>
      <c r="C130" s="1377"/>
      <c r="D130" s="1378">
        <v>111</v>
      </c>
      <c r="E130" s="1373" t="s">
        <v>206</v>
      </c>
      <c r="F130" s="1795"/>
      <c r="G130" s="1835" t="s">
        <v>208</v>
      </c>
      <c r="H130" s="1380" t="e">
        <f>SUM(H131,H141,H143,H161:H162,#REF!)</f>
        <v>#REF!</v>
      </c>
      <c r="I130" s="1380">
        <f>SUM(I131,I141,I143,I161:I162)</f>
        <v>0</v>
      </c>
      <c r="J130" s="1380">
        <f>SUM(J131,J141,J143,J161:J162)</f>
        <v>184957</v>
      </c>
      <c r="K130" s="1630" t="e">
        <f>SUM(K131,K141,K143,K161:K162,#REF!)</f>
        <v>#REF!</v>
      </c>
      <c r="L130" s="1601">
        <f>SUM(L131,L141,L143,L161:L162,)</f>
        <v>8527726</v>
      </c>
      <c r="M130" s="1303">
        <f>SUM(M131,M141,M143,M161:M162)</f>
        <v>224591</v>
      </c>
      <c r="N130" s="1304">
        <f>SUM(N131,N141,N143,N161:N162)</f>
        <v>164090</v>
      </c>
      <c r="O130" s="1474">
        <f>SUM(O131,O141,O143,O161:O162,)</f>
        <v>8916407</v>
      </c>
      <c r="P130" s="1601">
        <f>SUM(P131+P141+P143+P161+P162)</f>
        <v>1914000</v>
      </c>
      <c r="Q130" s="1303"/>
      <c r="R130" s="1304"/>
      <c r="S130" s="1474">
        <f>SUM(P130:R130)</f>
        <v>1914000</v>
      </c>
      <c r="T130" s="1601">
        <f>SUM(T131+T141+T143+T161+T162)</f>
        <v>8807500</v>
      </c>
      <c r="U130" s="1303"/>
      <c r="V130" s="1304"/>
      <c r="W130" s="1317">
        <f>SUM(W131+W141+W143+W161+W162)</f>
        <v>8807500</v>
      </c>
      <c r="X130" s="1578">
        <f t="shared" si="82"/>
        <v>98.778577514462938</v>
      </c>
      <c r="Y130" s="2457">
        <f>'[1]PRIH REBALANS'!$AK$455</f>
        <v>8807500</v>
      </c>
      <c r="Z130" s="1136"/>
      <c r="AA130" s="1136">
        <f>'[9]PRIH REBALANS'!$AK$455</f>
        <v>8807500</v>
      </c>
      <c r="AB130" s="1293">
        <f t="shared" si="74"/>
        <v>0</v>
      </c>
      <c r="AC130" s="1293">
        <f t="shared" si="78"/>
        <v>0</v>
      </c>
      <c r="AD130" s="1293">
        <f t="shared" si="83"/>
        <v>-108907</v>
      </c>
      <c r="AE130" s="1293">
        <f t="shared" si="75"/>
        <v>0</v>
      </c>
      <c r="AF130" s="1294"/>
      <c r="AG130" s="1294"/>
      <c r="AH130" s="1294">
        <f t="shared" si="76"/>
        <v>279774</v>
      </c>
      <c r="AI130" s="1294">
        <f t="shared" si="119"/>
        <v>0</v>
      </c>
      <c r="AJ130" s="1293">
        <f t="shared" si="84"/>
        <v>0</v>
      </c>
      <c r="AK130" s="1294"/>
      <c r="AL130" s="1294"/>
      <c r="AM130" s="1294"/>
      <c r="AN130" s="1294"/>
      <c r="AO130" s="1294"/>
      <c r="AP130" s="1294"/>
      <c r="AQ130" s="1294"/>
      <c r="AR130" s="1294">
        <f t="shared" si="114"/>
        <v>0</v>
      </c>
      <c r="AS130" s="1136"/>
      <c r="AT130" s="668">
        <f t="shared" si="115"/>
        <v>0</v>
      </c>
      <c r="AU130" s="463"/>
      <c r="AV130" s="468">
        <f>'[3]PRIH REBALANS'!$AK$474</f>
        <v>8916407</v>
      </c>
      <c r="AW130" s="468">
        <f t="shared" si="116"/>
        <v>-108907</v>
      </c>
      <c r="AX130" s="463"/>
      <c r="AY130" s="463"/>
      <c r="AZ130" s="463"/>
      <c r="BA130" s="463"/>
      <c r="BB130" s="463"/>
      <c r="BC130" s="437">
        <f>'[2]PRIH REBALANS'!$AK$474</f>
        <v>8916407</v>
      </c>
      <c r="BD130" s="437">
        <f t="shared" si="142"/>
        <v>108907</v>
      </c>
      <c r="BE130">
        <f t="shared" si="117"/>
        <v>98.778577514462938</v>
      </c>
      <c r="BF130" s="437">
        <f t="shared" si="118"/>
        <v>0</v>
      </c>
    </row>
    <row r="131" spans="1:59" ht="39" customHeight="1">
      <c r="A131" s="1572"/>
      <c r="B131" s="1573"/>
      <c r="C131" s="1573"/>
      <c r="D131" s="1378">
        <v>111</v>
      </c>
      <c r="E131" s="1373"/>
      <c r="F131" s="1795">
        <v>611000</v>
      </c>
      <c r="G131" s="1836" t="s">
        <v>658</v>
      </c>
      <c r="H131" s="1380">
        <f>SUM(H132,H135)</f>
        <v>6179000</v>
      </c>
      <c r="I131" s="1380">
        <f>SUM(I132,I134)</f>
        <v>0</v>
      </c>
      <c r="J131" s="1380">
        <f>SUM(J132,J134)</f>
        <v>184957</v>
      </c>
      <c r="K131" s="1630">
        <f>SUM(K132,K135)</f>
        <v>6363957</v>
      </c>
      <c r="L131" s="1601">
        <f>SUM(L132,L135)</f>
        <v>6161726</v>
      </c>
      <c r="M131" s="1303">
        <f>SUM(M132,M134)</f>
        <v>0</v>
      </c>
      <c r="N131" s="1304">
        <f>SUM(N132,N134)</f>
        <v>39090</v>
      </c>
      <c r="O131" s="1474">
        <f>SUM(O132,O135)</f>
        <v>6200816</v>
      </c>
      <c r="P131" s="1601">
        <f t="shared" ref="P131:W131" si="143">SUM(P132+P135)</f>
        <v>0</v>
      </c>
      <c r="Q131" s="1303">
        <f t="shared" si="143"/>
        <v>0</v>
      </c>
      <c r="R131" s="1304">
        <f t="shared" si="143"/>
        <v>0</v>
      </c>
      <c r="S131" s="1474">
        <f t="shared" si="143"/>
        <v>0</v>
      </c>
      <c r="T131" s="1601">
        <f t="shared" si="143"/>
        <v>6138500</v>
      </c>
      <c r="U131" s="1303">
        <f t="shared" si="143"/>
        <v>0</v>
      </c>
      <c r="V131" s="1304">
        <f t="shared" si="143"/>
        <v>0</v>
      </c>
      <c r="W131" s="1317">
        <f t="shared" si="143"/>
        <v>6138500</v>
      </c>
      <c r="X131" s="1578">
        <f t="shared" si="82"/>
        <v>98.995035492102971</v>
      </c>
      <c r="Y131" s="2457">
        <f>'[1]PRIH REBALANS'!$AK$456</f>
        <v>6138500</v>
      </c>
      <c r="Z131" s="1136"/>
      <c r="AA131" s="1136"/>
      <c r="AB131" s="1293">
        <f t="shared" si="74"/>
        <v>0</v>
      </c>
      <c r="AC131" s="1293">
        <f t="shared" si="78"/>
        <v>0</v>
      </c>
      <c r="AD131" s="1293">
        <f t="shared" si="83"/>
        <v>-62316</v>
      </c>
      <c r="AE131" s="1293">
        <f t="shared" si="75"/>
        <v>0</v>
      </c>
      <c r="AF131" s="1294"/>
      <c r="AG131" s="1294"/>
      <c r="AH131" s="1294">
        <f t="shared" si="76"/>
        <v>-23226</v>
      </c>
      <c r="AI131" s="1294">
        <f t="shared" si="119"/>
        <v>0</v>
      </c>
      <c r="AJ131" s="1293">
        <f t="shared" si="84"/>
        <v>0</v>
      </c>
      <c r="AK131" s="1294"/>
      <c r="AL131" s="1294"/>
      <c r="AM131" s="1294"/>
      <c r="AN131" s="1294"/>
      <c r="AO131" s="1294"/>
      <c r="AP131" s="1294"/>
      <c r="AQ131" s="1294"/>
      <c r="AR131" s="1294">
        <f t="shared" si="114"/>
        <v>0</v>
      </c>
      <c r="AS131" s="1136"/>
      <c r="AT131" s="668">
        <f t="shared" si="115"/>
        <v>0</v>
      </c>
      <c r="AU131" s="463"/>
      <c r="AV131" s="468">
        <f t="shared" ref="AV131:AV172" si="144">T131+U131+V131-W131</f>
        <v>0</v>
      </c>
      <c r="AW131" s="468">
        <f t="shared" si="116"/>
        <v>6138500</v>
      </c>
      <c r="AX131" s="463"/>
      <c r="AY131" s="463"/>
      <c r="AZ131" s="463"/>
      <c r="BA131" s="463"/>
      <c r="BB131" s="463"/>
      <c r="BC131" s="437">
        <f>T131+U131+V131+-W131</f>
        <v>0</v>
      </c>
      <c r="BD131" s="437">
        <f t="shared" si="142"/>
        <v>-6138500</v>
      </c>
      <c r="BE131">
        <f t="shared" si="117"/>
        <v>98.995035492102971</v>
      </c>
      <c r="BF131" s="437">
        <f t="shared" si="118"/>
        <v>0</v>
      </c>
    </row>
    <row r="132" spans="1:59" ht="39" customHeight="1">
      <c r="A132" s="1572"/>
      <c r="B132" s="1573"/>
      <c r="C132" s="1573"/>
      <c r="D132" s="1378">
        <v>111</v>
      </c>
      <c r="E132" s="1373"/>
      <c r="F132" s="1795">
        <v>611000</v>
      </c>
      <c r="G132" s="1836" t="s">
        <v>657</v>
      </c>
      <c r="H132" s="1380">
        <f t="shared" ref="H132:K132" si="145">SUM(H133:H134)</f>
        <v>5235000</v>
      </c>
      <c r="I132" s="1380">
        <f t="shared" si="145"/>
        <v>0</v>
      </c>
      <c r="J132" s="1380">
        <f t="shared" si="145"/>
        <v>184957</v>
      </c>
      <c r="K132" s="1381">
        <f t="shared" si="145"/>
        <v>5419957</v>
      </c>
      <c r="L132" s="1601">
        <f t="shared" ref="L132:O132" si="146">SUM(L133:L134)</f>
        <v>5150000</v>
      </c>
      <c r="M132" s="1303">
        <f t="shared" si="146"/>
        <v>0</v>
      </c>
      <c r="N132" s="1304">
        <f t="shared" si="146"/>
        <v>39090</v>
      </c>
      <c r="O132" s="1336">
        <f t="shared" si="146"/>
        <v>5189090</v>
      </c>
      <c r="P132" s="1601">
        <f>SUM(P133,P134)</f>
        <v>0</v>
      </c>
      <c r="Q132" s="1303">
        <f t="shared" ref="Q132:W132" si="147">SUM(Q133:Q134)</f>
        <v>0</v>
      </c>
      <c r="R132" s="1304">
        <f t="shared" si="147"/>
        <v>0</v>
      </c>
      <c r="S132" s="1336">
        <f t="shared" si="147"/>
        <v>0</v>
      </c>
      <c r="T132" s="1601">
        <f t="shared" si="147"/>
        <v>5150000</v>
      </c>
      <c r="U132" s="1303">
        <f t="shared" si="147"/>
        <v>0</v>
      </c>
      <c r="V132" s="1304">
        <f t="shared" si="147"/>
        <v>0</v>
      </c>
      <c r="W132" s="1316">
        <f t="shared" si="147"/>
        <v>5150000</v>
      </c>
      <c r="X132" s="1578">
        <f t="shared" si="82"/>
        <v>99.246688725768877</v>
      </c>
      <c r="Y132" s="2457">
        <f>'[1]PRIH REBALANS'!$AK$457</f>
        <v>5150000</v>
      </c>
      <c r="Z132" s="1136"/>
      <c r="AA132" s="1136"/>
      <c r="AB132" s="1293">
        <f t="shared" ref="AB132:AB195" si="148">T132+U132+V132-W132</f>
        <v>0</v>
      </c>
      <c r="AC132" s="1293">
        <f t="shared" si="78"/>
        <v>0</v>
      </c>
      <c r="AD132" s="1293">
        <f t="shared" si="83"/>
        <v>-39090</v>
      </c>
      <c r="AE132" s="1293">
        <f t="shared" si="75"/>
        <v>0</v>
      </c>
      <c r="AF132" s="1294"/>
      <c r="AG132" s="1294"/>
      <c r="AH132" s="1294">
        <f t="shared" si="76"/>
        <v>0</v>
      </c>
      <c r="AI132" s="1294">
        <f t="shared" si="119"/>
        <v>0</v>
      </c>
      <c r="AJ132" s="1293">
        <f t="shared" si="84"/>
        <v>0</v>
      </c>
      <c r="AK132" s="1294"/>
      <c r="AL132" s="1294"/>
      <c r="AM132" s="1294"/>
      <c r="AN132" s="1294"/>
      <c r="AO132" s="1294"/>
      <c r="AP132" s="1294"/>
      <c r="AQ132" s="1294"/>
      <c r="AR132" s="1294">
        <f t="shared" ref="AR132:AR163" si="149">T132+U132+V132-W132</f>
        <v>0</v>
      </c>
      <c r="AS132" s="1136">
        <f>SUM(W133:W134)</f>
        <v>5150000</v>
      </c>
      <c r="AT132" s="668">
        <f t="shared" ref="AT132:AT163" si="150">T132+U132+V132-W132</f>
        <v>0</v>
      </c>
      <c r="AU132" s="463">
        <f>SUM(W133:W134)</f>
        <v>5150000</v>
      </c>
      <c r="AV132" s="468">
        <f t="shared" si="144"/>
        <v>0</v>
      </c>
      <c r="AW132" s="468">
        <f t="shared" ref="AW132:AW163" si="151">W132-AV132</f>
        <v>5150000</v>
      </c>
      <c r="AX132" s="463"/>
      <c r="AY132" s="463"/>
      <c r="AZ132" s="463"/>
      <c r="BA132" s="463"/>
      <c r="BB132" s="463"/>
      <c r="BC132" s="437">
        <f>'[2]PRIH REBALANS'!$AK$476</f>
        <v>5189090</v>
      </c>
      <c r="BD132" s="437">
        <f t="shared" si="142"/>
        <v>39090</v>
      </c>
      <c r="BE132">
        <f t="shared" ref="BE132:BE169" si="152">W132/O132*100</f>
        <v>99.246688725768877</v>
      </c>
      <c r="BF132" s="437">
        <f t="shared" ref="BF132:BF163" si="153">BE132-X132</f>
        <v>0</v>
      </c>
      <c r="BG132" s="209">
        <f>SUM(W133:W134)</f>
        <v>5150000</v>
      </c>
    </row>
    <row r="133" spans="1:59" ht="39" customHeight="1">
      <c r="A133" s="1572"/>
      <c r="B133" s="1573"/>
      <c r="C133" s="1573"/>
      <c r="D133" s="1378" t="s">
        <v>339</v>
      </c>
      <c r="E133" s="1373"/>
      <c r="F133" s="1796" t="s">
        <v>209</v>
      </c>
      <c r="G133" s="1837" t="s">
        <v>676</v>
      </c>
      <c r="H133" s="1575">
        <v>3610000</v>
      </c>
      <c r="I133" s="1575"/>
      <c r="J133" s="1575">
        <v>184957</v>
      </c>
      <c r="K133" s="1374">
        <f>SUM(H133:J133)</f>
        <v>3794957</v>
      </c>
      <c r="L133" s="1577">
        <v>3550000</v>
      </c>
      <c r="M133" s="1301"/>
      <c r="N133" s="1302">
        <v>39090</v>
      </c>
      <c r="O133" s="1476">
        <f>SUM(L133:N133)</f>
        <v>3589090</v>
      </c>
      <c r="P133" s="1577"/>
      <c r="Q133" s="1301"/>
      <c r="R133" s="1302"/>
      <c r="S133" s="1476">
        <f>SUM(P133:R133)</f>
        <v>0</v>
      </c>
      <c r="T133" s="1577">
        <v>3550000</v>
      </c>
      <c r="U133" s="1301"/>
      <c r="V133" s="1302"/>
      <c r="W133" s="1476">
        <f>SUM(T133:V133)</f>
        <v>3550000</v>
      </c>
      <c r="X133" s="1578">
        <f t="shared" si="82"/>
        <v>98.910865985528361</v>
      </c>
      <c r="Y133" s="2457"/>
      <c r="Z133" s="1136"/>
      <c r="AA133" s="1136"/>
      <c r="AB133" s="1293">
        <f t="shared" si="148"/>
        <v>0</v>
      </c>
      <c r="AC133" s="1293">
        <f t="shared" si="78"/>
        <v>0</v>
      </c>
      <c r="AD133" s="1293">
        <f t="shared" si="83"/>
        <v>-39090</v>
      </c>
      <c r="AE133" s="1293">
        <f t="shared" ref="AE133:AE196" si="154">T133+U133+V133-W133</f>
        <v>0</v>
      </c>
      <c r="AF133" s="1294"/>
      <c r="AG133" s="1294"/>
      <c r="AH133" s="1294">
        <f t="shared" ref="AH133:AH197" si="155">T133-L133</f>
        <v>0</v>
      </c>
      <c r="AI133" s="1294">
        <f t="shared" si="119"/>
        <v>0</v>
      </c>
      <c r="AJ133" s="1293">
        <f t="shared" si="84"/>
        <v>0</v>
      </c>
      <c r="AK133" s="1294"/>
      <c r="AL133" s="1294"/>
      <c r="AM133" s="1294"/>
      <c r="AN133" s="1294"/>
      <c r="AO133" s="1294"/>
      <c r="AP133" s="1294"/>
      <c r="AQ133" s="1294"/>
      <c r="AR133" s="1294">
        <f t="shared" si="149"/>
        <v>0</v>
      </c>
      <c r="AS133" s="1136"/>
      <c r="AT133" s="668">
        <f t="shared" si="150"/>
        <v>0</v>
      </c>
      <c r="AU133" s="463">
        <f>T133*46%</f>
        <v>1633000</v>
      </c>
      <c r="AV133" s="468">
        <f t="shared" si="144"/>
        <v>0</v>
      </c>
      <c r="AW133" s="468">
        <f t="shared" si="151"/>
        <v>3550000</v>
      </c>
      <c r="AX133" s="272"/>
      <c r="AY133" s="272"/>
      <c r="AZ133" s="272"/>
      <c r="BA133" s="272"/>
      <c r="BB133" s="272"/>
      <c r="BC133" s="437">
        <f>T133+U133+V133+-W133</f>
        <v>0</v>
      </c>
      <c r="BD133" s="437">
        <f t="shared" si="142"/>
        <v>-3550000</v>
      </c>
      <c r="BE133">
        <f t="shared" si="152"/>
        <v>98.910865985528361</v>
      </c>
      <c r="BF133" s="437">
        <f t="shared" si="153"/>
        <v>0</v>
      </c>
    </row>
    <row r="134" spans="1:59" ht="39" customHeight="1">
      <c r="A134" s="1572"/>
      <c r="B134" s="1573"/>
      <c r="C134" s="1573"/>
      <c r="D134" s="1378">
        <v>111</v>
      </c>
      <c r="E134" s="1373"/>
      <c r="F134" s="1796" t="s">
        <v>211</v>
      </c>
      <c r="G134" s="1838" t="s">
        <v>659</v>
      </c>
      <c r="H134" s="1575">
        <v>1625000</v>
      </c>
      <c r="I134" s="1380"/>
      <c r="J134" s="1380"/>
      <c r="K134" s="1374">
        <f t="shared" ref="K134:K140" si="156">SUM(H134:J134)</f>
        <v>1625000</v>
      </c>
      <c r="L134" s="1577">
        <v>1600000</v>
      </c>
      <c r="M134" s="1303"/>
      <c r="N134" s="1304"/>
      <c r="O134" s="1476">
        <f>SUM(L134:N134)</f>
        <v>1600000</v>
      </c>
      <c r="P134" s="1577"/>
      <c r="Q134" s="1303"/>
      <c r="R134" s="1304"/>
      <c r="S134" s="1476">
        <f>SUM(P134:R134)</f>
        <v>0</v>
      </c>
      <c r="T134" s="1577">
        <v>1600000</v>
      </c>
      <c r="U134" s="1303"/>
      <c r="V134" s="1304"/>
      <c r="W134" s="1476">
        <f>SUM(T134:V134)</f>
        <v>1600000</v>
      </c>
      <c r="X134" s="1578">
        <f t="shared" si="82"/>
        <v>100</v>
      </c>
      <c r="Y134" s="2457"/>
      <c r="Z134" s="1136"/>
      <c r="AA134" s="1136"/>
      <c r="AB134" s="1293">
        <f t="shared" si="148"/>
        <v>0</v>
      </c>
      <c r="AC134" s="1293">
        <f t="shared" ref="AC134:AC197" si="157">T134+U134+V134-W134</f>
        <v>0</v>
      </c>
      <c r="AD134" s="1293">
        <f t="shared" si="83"/>
        <v>0</v>
      </c>
      <c r="AE134" s="1293">
        <f t="shared" si="154"/>
        <v>0</v>
      </c>
      <c r="AF134" s="1294"/>
      <c r="AG134" s="1294"/>
      <c r="AH134" s="1294">
        <f t="shared" si="155"/>
        <v>0</v>
      </c>
      <c r="AI134" s="1294">
        <f t="shared" ref="AI134:AI168" si="158">T134+U134+V134-W134</f>
        <v>0</v>
      </c>
      <c r="AJ134" s="1293">
        <f t="shared" si="84"/>
        <v>0</v>
      </c>
      <c r="AK134" s="1294"/>
      <c r="AL134" s="1294"/>
      <c r="AM134" s="1294"/>
      <c r="AN134" s="1294"/>
      <c r="AO134" s="1294"/>
      <c r="AP134" s="1294"/>
      <c r="AQ134" s="1294"/>
      <c r="AR134" s="1294">
        <f t="shared" si="149"/>
        <v>0</v>
      </c>
      <c r="AS134" s="1136"/>
      <c r="AT134" s="668">
        <f t="shared" si="150"/>
        <v>0</v>
      </c>
      <c r="AU134" s="463"/>
      <c r="AV134" s="468">
        <f t="shared" si="144"/>
        <v>0</v>
      </c>
      <c r="AW134" s="468">
        <f t="shared" si="151"/>
        <v>1600000</v>
      </c>
      <c r="AX134" s="272"/>
      <c r="AY134" s="272"/>
      <c r="AZ134" s="272"/>
      <c r="BA134" s="272"/>
      <c r="BB134" s="272"/>
      <c r="BC134" s="437">
        <f>T134+U134+V134+-W134</f>
        <v>0</v>
      </c>
      <c r="BD134" s="437">
        <f t="shared" si="142"/>
        <v>-1600000</v>
      </c>
      <c r="BE134">
        <f t="shared" si="152"/>
        <v>100</v>
      </c>
      <c r="BF134" s="437">
        <f t="shared" si="153"/>
        <v>0</v>
      </c>
    </row>
    <row r="135" spans="1:59" ht="39" customHeight="1">
      <c r="A135" s="1572"/>
      <c r="B135" s="1573"/>
      <c r="C135" s="1573"/>
      <c r="D135" s="1378">
        <v>111</v>
      </c>
      <c r="E135" s="1373"/>
      <c r="F135" s="1795">
        <v>611200</v>
      </c>
      <c r="G135" s="1836" t="s">
        <v>213</v>
      </c>
      <c r="H135" s="1380">
        <f t="shared" ref="H135:L135" si="159">SUM(H136:H140)</f>
        <v>944000</v>
      </c>
      <c r="I135" s="1380">
        <f t="shared" si="159"/>
        <v>0</v>
      </c>
      <c r="J135" s="1380">
        <f t="shared" si="159"/>
        <v>0</v>
      </c>
      <c r="K135" s="1381">
        <f t="shared" si="159"/>
        <v>944000</v>
      </c>
      <c r="L135" s="1601">
        <f t="shared" si="159"/>
        <v>1011726</v>
      </c>
      <c r="M135" s="1303"/>
      <c r="N135" s="1304"/>
      <c r="O135" s="1336">
        <f t="shared" ref="O135" si="160">SUM(O136:O140)</f>
        <v>1011726</v>
      </c>
      <c r="P135" s="1601">
        <f t="shared" ref="P135:W135" si="161">SUM(P136:P140)</f>
        <v>0</v>
      </c>
      <c r="Q135" s="1303">
        <f t="shared" si="161"/>
        <v>0</v>
      </c>
      <c r="R135" s="1304">
        <f t="shared" si="161"/>
        <v>0</v>
      </c>
      <c r="S135" s="1336">
        <f t="shared" si="161"/>
        <v>0</v>
      </c>
      <c r="T135" s="1601">
        <f>SUM(T136:T140)</f>
        <v>988500</v>
      </c>
      <c r="U135" s="1303">
        <f t="shared" si="161"/>
        <v>0</v>
      </c>
      <c r="V135" s="1304">
        <f t="shared" si="161"/>
        <v>0</v>
      </c>
      <c r="W135" s="1316">
        <f t="shared" si="161"/>
        <v>988500</v>
      </c>
      <c r="X135" s="1578">
        <f t="shared" ref="X135:X199" si="162">W135/O135*100</f>
        <v>97.704319153604828</v>
      </c>
      <c r="Y135" s="2457">
        <f>'[1]PRIH REBALANS'!$AK$461</f>
        <v>988500</v>
      </c>
      <c r="Z135" s="1136"/>
      <c r="AA135" s="1136">
        <f>'[9]PRIH REBALANS'!$AK$461</f>
        <v>988500</v>
      </c>
      <c r="AB135" s="1293">
        <f t="shared" si="148"/>
        <v>0</v>
      </c>
      <c r="AC135" s="1293">
        <f t="shared" si="157"/>
        <v>0</v>
      </c>
      <c r="AD135" s="1293">
        <f t="shared" ref="AD135:AD199" si="163">W135-O135</f>
        <v>-23226</v>
      </c>
      <c r="AE135" s="1293">
        <f t="shared" si="154"/>
        <v>0</v>
      </c>
      <c r="AF135" s="1294"/>
      <c r="AG135" s="1294"/>
      <c r="AH135" s="1294">
        <f t="shared" si="155"/>
        <v>-23226</v>
      </c>
      <c r="AI135" s="1294">
        <f t="shared" si="158"/>
        <v>0</v>
      </c>
      <c r="AJ135" s="1293">
        <f t="shared" ref="AJ135:AJ199" si="164">T135+U135+V135-W135</f>
        <v>0</v>
      </c>
      <c r="AK135" s="1294"/>
      <c r="AL135" s="1294"/>
      <c r="AM135" s="1294"/>
      <c r="AN135" s="1294"/>
      <c r="AO135" s="1294"/>
      <c r="AP135" s="1294"/>
      <c r="AQ135" s="1294"/>
      <c r="AR135" s="1294">
        <f t="shared" si="149"/>
        <v>0</v>
      </c>
      <c r="AS135" s="1136">
        <f>SUM(W136:W140)</f>
        <v>988500</v>
      </c>
      <c r="AT135" s="668">
        <f t="shared" si="150"/>
        <v>0</v>
      </c>
      <c r="AU135" s="463">
        <f>SUM(W136:W140)</f>
        <v>988500</v>
      </c>
      <c r="AV135" s="468">
        <f t="shared" si="144"/>
        <v>0</v>
      </c>
      <c r="AW135" s="468">
        <f t="shared" si="151"/>
        <v>988500</v>
      </c>
      <c r="AX135" s="463"/>
      <c r="AY135" s="463"/>
      <c r="AZ135" s="463"/>
      <c r="BA135" s="463"/>
      <c r="BB135" s="463"/>
      <c r="BC135" s="437">
        <f>'[2]PRIH REBALANS'!$AK$480</f>
        <v>1011726</v>
      </c>
      <c r="BD135" s="437">
        <f t="shared" si="142"/>
        <v>23226</v>
      </c>
      <c r="BE135">
        <f t="shared" si="152"/>
        <v>97.704319153604828</v>
      </c>
      <c r="BF135" s="437">
        <f t="shared" si="153"/>
        <v>0</v>
      </c>
      <c r="BG135" s="209">
        <f>W136+W137+W138+W139+W140</f>
        <v>988500</v>
      </c>
    </row>
    <row r="136" spans="1:59" ht="39" customHeight="1">
      <c r="A136" s="1572"/>
      <c r="B136" s="1573"/>
      <c r="C136" s="1573"/>
      <c r="D136" s="1378">
        <v>111</v>
      </c>
      <c r="E136" s="1373"/>
      <c r="F136" s="1796">
        <v>611211</v>
      </c>
      <c r="G136" s="1838" t="s">
        <v>660</v>
      </c>
      <c r="H136" s="1575">
        <v>110000</v>
      </c>
      <c r="I136" s="1575"/>
      <c r="J136" s="1575"/>
      <c r="K136" s="1374">
        <f t="shared" si="156"/>
        <v>110000</v>
      </c>
      <c r="L136" s="1623">
        <v>105000</v>
      </c>
      <c r="M136" s="1301"/>
      <c r="N136" s="1302"/>
      <c r="O136" s="1375">
        <f>SUM(L136:N136)</f>
        <v>105000</v>
      </c>
      <c r="P136" s="1577"/>
      <c r="Q136" s="1301"/>
      <c r="R136" s="1302"/>
      <c r="S136" s="1375">
        <f>SUM(P136:R136)</f>
        <v>0</v>
      </c>
      <c r="T136" s="1577">
        <v>105000</v>
      </c>
      <c r="U136" s="1301"/>
      <c r="V136" s="1302"/>
      <c r="W136" s="1375">
        <f>SUM(T136:V136)</f>
        <v>105000</v>
      </c>
      <c r="X136" s="1578">
        <f t="shared" si="162"/>
        <v>100</v>
      </c>
      <c r="Y136" s="2457"/>
      <c r="Z136" s="1136"/>
      <c r="AA136" s="1136"/>
      <c r="AB136" s="1293">
        <f t="shared" si="148"/>
        <v>0</v>
      </c>
      <c r="AC136" s="1293">
        <f t="shared" si="157"/>
        <v>0</v>
      </c>
      <c r="AD136" s="1293">
        <f t="shared" si="163"/>
        <v>0</v>
      </c>
      <c r="AE136" s="1293">
        <f t="shared" si="154"/>
        <v>0</v>
      </c>
      <c r="AF136" s="1294"/>
      <c r="AG136" s="1294"/>
      <c r="AH136" s="1294">
        <f t="shared" si="155"/>
        <v>0</v>
      </c>
      <c r="AI136" s="1294">
        <f t="shared" si="158"/>
        <v>0</v>
      </c>
      <c r="AJ136" s="1293">
        <f t="shared" si="164"/>
        <v>0</v>
      </c>
      <c r="AK136" s="1294"/>
      <c r="AL136" s="1294"/>
      <c r="AM136" s="1294"/>
      <c r="AN136" s="1294"/>
      <c r="AO136" s="1294"/>
      <c r="AP136" s="1294"/>
      <c r="AQ136" s="1294"/>
      <c r="AR136" s="1294">
        <f t="shared" si="149"/>
        <v>0</v>
      </c>
      <c r="AS136" s="1136"/>
      <c r="AT136" s="668">
        <f t="shared" si="150"/>
        <v>0</v>
      </c>
      <c r="AU136" s="463"/>
      <c r="AV136" s="468">
        <f t="shared" si="144"/>
        <v>0</v>
      </c>
      <c r="AW136" s="468">
        <f t="shared" si="151"/>
        <v>105000</v>
      </c>
      <c r="AX136" s="272"/>
      <c r="AY136" s="272"/>
      <c r="AZ136" s="272"/>
      <c r="BA136" s="272"/>
      <c r="BB136" s="272"/>
      <c r="BC136" s="437">
        <f>T136+U136+V136+-W136</f>
        <v>0</v>
      </c>
      <c r="BD136" s="437">
        <f t="shared" si="142"/>
        <v>-105000</v>
      </c>
      <c r="BE136">
        <f t="shared" si="152"/>
        <v>100</v>
      </c>
      <c r="BF136" s="437">
        <f t="shared" si="153"/>
        <v>0</v>
      </c>
    </row>
    <row r="137" spans="1:59" ht="39" customHeight="1">
      <c r="A137" s="1572"/>
      <c r="B137" s="1573"/>
      <c r="C137" s="1573"/>
      <c r="D137" s="1378">
        <v>111</v>
      </c>
      <c r="E137" s="1373"/>
      <c r="F137" s="1797">
        <v>611221</v>
      </c>
      <c r="G137" s="1837" t="s">
        <v>661</v>
      </c>
      <c r="H137" s="1575">
        <v>470000</v>
      </c>
      <c r="I137" s="1575"/>
      <c r="J137" s="1575"/>
      <c r="K137" s="1374">
        <f t="shared" si="156"/>
        <v>470000</v>
      </c>
      <c r="L137" s="1577">
        <v>472000</v>
      </c>
      <c r="M137" s="1301"/>
      <c r="N137" s="1302"/>
      <c r="O137" s="1375">
        <f t="shared" ref="O137:O140" si="165">SUM(L137:N137)</f>
        <v>472000</v>
      </c>
      <c r="P137" s="1577"/>
      <c r="Q137" s="1301"/>
      <c r="R137" s="1302"/>
      <c r="S137" s="1375">
        <f t="shared" ref="S137:S140" si="166">SUM(P137:R137)</f>
        <v>0</v>
      </c>
      <c r="T137" s="1577">
        <v>480000</v>
      </c>
      <c r="U137" s="1301"/>
      <c r="V137" s="1302"/>
      <c r="W137" s="1375">
        <f t="shared" ref="W137:W140" si="167">SUM(T137:V137)</f>
        <v>480000</v>
      </c>
      <c r="X137" s="1578">
        <f t="shared" si="162"/>
        <v>101.69491525423729</v>
      </c>
      <c r="Y137" s="2457"/>
      <c r="Z137" s="1136"/>
      <c r="AA137" s="1136"/>
      <c r="AB137" s="1293">
        <f t="shared" si="148"/>
        <v>0</v>
      </c>
      <c r="AC137" s="1293">
        <f t="shared" si="157"/>
        <v>0</v>
      </c>
      <c r="AD137" s="1293">
        <f t="shared" si="163"/>
        <v>8000</v>
      </c>
      <c r="AE137" s="1293">
        <f t="shared" si="154"/>
        <v>0</v>
      </c>
      <c r="AF137" s="1294"/>
      <c r="AG137" s="1294"/>
      <c r="AH137" s="1294">
        <f t="shared" si="155"/>
        <v>8000</v>
      </c>
      <c r="AI137" s="1294">
        <f t="shared" si="158"/>
        <v>0</v>
      </c>
      <c r="AJ137" s="1293">
        <f t="shared" si="164"/>
        <v>0</v>
      </c>
      <c r="AK137" s="1294"/>
      <c r="AL137" s="1294"/>
      <c r="AM137" s="1294"/>
      <c r="AN137" s="1294"/>
      <c r="AO137" s="1294"/>
      <c r="AP137" s="1294"/>
      <c r="AQ137" s="1294"/>
      <c r="AR137" s="1294">
        <f t="shared" si="149"/>
        <v>0</v>
      </c>
      <c r="AS137" s="1136"/>
      <c r="AT137" s="668">
        <f t="shared" si="150"/>
        <v>0</v>
      </c>
      <c r="AU137" s="463"/>
      <c r="AV137" s="468">
        <f t="shared" si="144"/>
        <v>0</v>
      </c>
      <c r="AW137" s="468">
        <f t="shared" si="151"/>
        <v>480000</v>
      </c>
      <c r="AX137" s="272"/>
      <c r="AY137" s="272"/>
      <c r="AZ137" s="272"/>
      <c r="BA137" s="272"/>
      <c r="BB137" s="272"/>
      <c r="BC137" s="437">
        <f>T137+U137+V137+-W137</f>
        <v>0</v>
      </c>
      <c r="BD137" s="437"/>
      <c r="BE137">
        <f t="shared" si="152"/>
        <v>101.69491525423729</v>
      </c>
      <c r="BF137" s="437">
        <f t="shared" si="153"/>
        <v>0</v>
      </c>
    </row>
    <row r="138" spans="1:59" ht="39" customHeight="1">
      <c r="A138" s="1572"/>
      <c r="B138" s="1573"/>
      <c r="C138" s="1573"/>
      <c r="D138" s="1378">
        <v>111</v>
      </c>
      <c r="E138" s="1373"/>
      <c r="F138" s="1797">
        <v>611224</v>
      </c>
      <c r="G138" s="1837" t="s">
        <v>214</v>
      </c>
      <c r="H138" s="1575">
        <v>108000</v>
      </c>
      <c r="I138" s="1575"/>
      <c r="J138" s="1575"/>
      <c r="K138" s="1374">
        <f t="shared" si="156"/>
        <v>108000</v>
      </c>
      <c r="L138" s="1577">
        <v>114726</v>
      </c>
      <c r="M138" s="1301"/>
      <c r="N138" s="1302"/>
      <c r="O138" s="1375">
        <f t="shared" si="165"/>
        <v>114726</v>
      </c>
      <c r="P138" s="1577"/>
      <c r="Q138" s="1301"/>
      <c r="R138" s="1302"/>
      <c r="S138" s="1375">
        <f t="shared" si="166"/>
        <v>0</v>
      </c>
      <c r="T138" s="1577">
        <v>115000</v>
      </c>
      <c r="U138" s="1301"/>
      <c r="V138" s="1302"/>
      <c r="W138" s="1375">
        <f t="shared" si="167"/>
        <v>115000</v>
      </c>
      <c r="X138" s="1578">
        <f t="shared" si="162"/>
        <v>100.23882990778029</v>
      </c>
      <c r="Y138" s="2457"/>
      <c r="Z138" s="1136"/>
      <c r="AA138" s="1136"/>
      <c r="AB138" s="1293">
        <f t="shared" si="148"/>
        <v>0</v>
      </c>
      <c r="AC138" s="1293">
        <f t="shared" si="157"/>
        <v>0</v>
      </c>
      <c r="AD138" s="1293">
        <f t="shared" si="163"/>
        <v>274</v>
      </c>
      <c r="AE138" s="1293">
        <f t="shared" si="154"/>
        <v>0</v>
      </c>
      <c r="AF138" s="1294"/>
      <c r="AG138" s="1294"/>
      <c r="AH138" s="1294">
        <f t="shared" si="155"/>
        <v>274</v>
      </c>
      <c r="AI138" s="1294">
        <f t="shared" si="158"/>
        <v>0</v>
      </c>
      <c r="AJ138" s="1293">
        <f t="shared" si="164"/>
        <v>0</v>
      </c>
      <c r="AK138" s="1294"/>
      <c r="AL138" s="1294"/>
      <c r="AM138" s="1294"/>
      <c r="AN138" s="1294"/>
      <c r="AO138" s="1294"/>
      <c r="AP138" s="1294"/>
      <c r="AQ138" s="1294"/>
      <c r="AR138" s="1294">
        <f t="shared" si="149"/>
        <v>0</v>
      </c>
      <c r="AS138" s="1136"/>
      <c r="AT138" s="668">
        <f t="shared" si="150"/>
        <v>0</v>
      </c>
      <c r="AU138" s="463"/>
      <c r="AV138" s="468">
        <f t="shared" si="144"/>
        <v>0</v>
      </c>
      <c r="AW138" s="468">
        <f t="shared" si="151"/>
        <v>115000</v>
      </c>
      <c r="AX138" s="272"/>
      <c r="AY138" s="272"/>
      <c r="AZ138" s="272"/>
      <c r="BA138" s="272"/>
      <c r="BB138" s="272"/>
      <c r="BC138" s="437">
        <f>T138+U138+V138+-W138</f>
        <v>0</v>
      </c>
      <c r="BD138" s="437"/>
      <c r="BE138">
        <f t="shared" si="152"/>
        <v>100.23882990778029</v>
      </c>
      <c r="BF138" s="437">
        <f t="shared" si="153"/>
        <v>0</v>
      </c>
    </row>
    <row r="139" spans="1:59" ht="39" customHeight="1">
      <c r="A139" s="1572"/>
      <c r="B139" s="1573"/>
      <c r="C139" s="1573"/>
      <c r="D139" s="1378">
        <v>111</v>
      </c>
      <c r="E139" s="1373"/>
      <c r="F139" s="1796">
        <v>611225</v>
      </c>
      <c r="G139" s="1838" t="s">
        <v>679</v>
      </c>
      <c r="H139" s="1575">
        <v>126000</v>
      </c>
      <c r="I139" s="1575"/>
      <c r="J139" s="1575"/>
      <c r="K139" s="1374">
        <f t="shared" si="156"/>
        <v>126000</v>
      </c>
      <c r="L139" s="1577">
        <v>145000</v>
      </c>
      <c r="M139" s="1301"/>
      <c r="N139" s="1302"/>
      <c r="O139" s="1375">
        <f t="shared" si="165"/>
        <v>145000</v>
      </c>
      <c r="P139" s="1577"/>
      <c r="Q139" s="1301"/>
      <c r="R139" s="1302"/>
      <c r="S139" s="1375">
        <f t="shared" si="166"/>
        <v>0</v>
      </c>
      <c r="T139" s="1577">
        <v>148500</v>
      </c>
      <c r="U139" s="1301"/>
      <c r="V139" s="1302"/>
      <c r="W139" s="1375">
        <f t="shared" si="167"/>
        <v>148500</v>
      </c>
      <c r="X139" s="1578">
        <f t="shared" si="162"/>
        <v>102.41379310344827</v>
      </c>
      <c r="Y139" s="2457"/>
      <c r="Z139" s="1136"/>
      <c r="AA139" s="1136"/>
      <c r="AB139" s="1293">
        <f t="shared" si="148"/>
        <v>0</v>
      </c>
      <c r="AC139" s="1293">
        <f t="shared" si="157"/>
        <v>0</v>
      </c>
      <c r="AD139" s="1293">
        <f t="shared" si="163"/>
        <v>3500</v>
      </c>
      <c r="AE139" s="1293">
        <f t="shared" si="154"/>
        <v>0</v>
      </c>
      <c r="AF139" s="1294"/>
      <c r="AG139" s="1294"/>
      <c r="AH139" s="1294">
        <f t="shared" si="155"/>
        <v>3500</v>
      </c>
      <c r="AI139" s="1294">
        <f t="shared" si="158"/>
        <v>0</v>
      </c>
      <c r="AJ139" s="1293">
        <f t="shared" si="164"/>
        <v>0</v>
      </c>
      <c r="AK139" s="1294"/>
      <c r="AL139" s="1294"/>
      <c r="AM139" s="1294"/>
      <c r="AN139" s="1294"/>
      <c r="AO139" s="1294"/>
      <c r="AP139" s="1294"/>
      <c r="AQ139" s="1294"/>
      <c r="AR139" s="1294">
        <f t="shared" si="149"/>
        <v>0</v>
      </c>
      <c r="AS139" s="1136"/>
      <c r="AT139" s="668">
        <f t="shared" si="150"/>
        <v>0</v>
      </c>
      <c r="AU139" s="978" t="s">
        <v>1558</v>
      </c>
      <c r="AV139" s="468">
        <f t="shared" si="144"/>
        <v>0</v>
      </c>
      <c r="AW139" s="468">
        <f t="shared" si="151"/>
        <v>148500</v>
      </c>
      <c r="AX139" s="272"/>
      <c r="AY139" s="272"/>
      <c r="AZ139" s="272"/>
      <c r="BA139" s="272"/>
      <c r="BB139" s="272"/>
      <c r="BC139" s="437">
        <f>T139+U139+V139+-W139</f>
        <v>0</v>
      </c>
      <c r="BD139" s="437"/>
      <c r="BE139">
        <f t="shared" si="152"/>
        <v>102.41379310344827</v>
      </c>
      <c r="BF139" s="437">
        <f t="shared" si="153"/>
        <v>0</v>
      </c>
    </row>
    <row r="140" spans="1:59" ht="39" customHeight="1">
      <c r="A140" s="1572"/>
      <c r="B140" s="1573"/>
      <c r="C140" s="1573"/>
      <c r="D140" s="1378">
        <v>111</v>
      </c>
      <c r="E140" s="1373"/>
      <c r="F140" s="1796">
        <v>611227</v>
      </c>
      <c r="G140" s="1838" t="s">
        <v>215</v>
      </c>
      <c r="H140" s="1575">
        <v>130000</v>
      </c>
      <c r="I140" s="1575"/>
      <c r="J140" s="1575"/>
      <c r="K140" s="1374">
        <f t="shared" si="156"/>
        <v>130000</v>
      </c>
      <c r="L140" s="1577">
        <v>175000</v>
      </c>
      <c r="M140" s="1301"/>
      <c r="N140" s="1302"/>
      <c r="O140" s="1375">
        <f t="shared" si="165"/>
        <v>175000</v>
      </c>
      <c r="P140" s="1577"/>
      <c r="Q140" s="1301"/>
      <c r="R140" s="1302"/>
      <c r="S140" s="1375">
        <f t="shared" si="166"/>
        <v>0</v>
      </c>
      <c r="T140" s="1577">
        <v>140000</v>
      </c>
      <c r="U140" s="1301"/>
      <c r="V140" s="1302"/>
      <c r="W140" s="1375">
        <f t="shared" si="167"/>
        <v>140000</v>
      </c>
      <c r="X140" s="1578">
        <f t="shared" si="162"/>
        <v>80</v>
      </c>
      <c r="Y140" s="2457"/>
      <c r="Z140" s="1136"/>
      <c r="AA140" s="1136"/>
      <c r="AB140" s="1293">
        <f t="shared" si="148"/>
        <v>0</v>
      </c>
      <c r="AC140" s="1293">
        <f t="shared" si="157"/>
        <v>0</v>
      </c>
      <c r="AD140" s="1293">
        <f t="shared" si="163"/>
        <v>-35000</v>
      </c>
      <c r="AE140" s="1293">
        <f t="shared" si="154"/>
        <v>0</v>
      </c>
      <c r="AF140" s="1294"/>
      <c r="AG140" s="1294"/>
      <c r="AH140" s="1294">
        <f t="shared" si="155"/>
        <v>-35000</v>
      </c>
      <c r="AI140" s="1294">
        <f t="shared" si="158"/>
        <v>0</v>
      </c>
      <c r="AJ140" s="1293">
        <f t="shared" si="164"/>
        <v>0</v>
      </c>
      <c r="AK140" s="1294"/>
      <c r="AL140" s="1294"/>
      <c r="AM140" s="1294"/>
      <c r="AN140" s="1294"/>
      <c r="AO140" s="1294"/>
      <c r="AP140" s="1294"/>
      <c r="AQ140" s="1294"/>
      <c r="AR140" s="1294">
        <f t="shared" si="149"/>
        <v>0</v>
      </c>
      <c r="AS140" s="1136"/>
      <c r="AT140" s="668">
        <f t="shared" si="150"/>
        <v>0</v>
      </c>
      <c r="AU140" s="463"/>
      <c r="AV140" s="468">
        <f t="shared" si="144"/>
        <v>0</v>
      </c>
      <c r="AW140" s="468">
        <f t="shared" si="151"/>
        <v>140000</v>
      </c>
      <c r="AX140" s="272"/>
      <c r="AY140" s="272"/>
      <c r="AZ140" s="272"/>
      <c r="BA140" s="272"/>
      <c r="BB140" s="272"/>
      <c r="BC140" s="437">
        <f>T140+U140+V140+-W140</f>
        <v>0</v>
      </c>
      <c r="BD140" s="437"/>
      <c r="BE140">
        <f t="shared" si="152"/>
        <v>80</v>
      </c>
      <c r="BF140" s="437">
        <f t="shared" si="153"/>
        <v>0</v>
      </c>
    </row>
    <row r="141" spans="1:59" ht="39" customHeight="1">
      <c r="A141" s="1572"/>
      <c r="B141" s="1573"/>
      <c r="C141" s="1573"/>
      <c r="D141" s="1378">
        <v>111</v>
      </c>
      <c r="E141" s="1373"/>
      <c r="F141" s="1795">
        <v>612000</v>
      </c>
      <c r="G141" s="1836" t="s">
        <v>216</v>
      </c>
      <c r="H141" s="1380">
        <f t="shared" ref="H141:O141" si="168">SUM(H142)</f>
        <v>610000</v>
      </c>
      <c r="I141" s="1380">
        <f t="shared" si="168"/>
        <v>0</v>
      </c>
      <c r="J141" s="1380">
        <f t="shared" si="168"/>
        <v>0</v>
      </c>
      <c r="K141" s="1381">
        <f t="shared" si="168"/>
        <v>610000</v>
      </c>
      <c r="L141" s="1601">
        <f t="shared" si="168"/>
        <v>602000</v>
      </c>
      <c r="M141" s="1303">
        <f t="shared" si="168"/>
        <v>0</v>
      </c>
      <c r="N141" s="1304">
        <f t="shared" si="168"/>
        <v>0</v>
      </c>
      <c r="O141" s="1336">
        <f t="shared" si="168"/>
        <v>602000</v>
      </c>
      <c r="P141" s="1601">
        <f t="shared" ref="P141:V141" si="169">SUM(P142)</f>
        <v>0</v>
      </c>
      <c r="Q141" s="1303">
        <f t="shared" si="169"/>
        <v>0</v>
      </c>
      <c r="R141" s="1304">
        <f t="shared" si="169"/>
        <v>0</v>
      </c>
      <c r="S141" s="1336">
        <f t="shared" si="169"/>
        <v>0</v>
      </c>
      <c r="T141" s="1601">
        <f t="shared" si="169"/>
        <v>605000</v>
      </c>
      <c r="U141" s="1303">
        <f t="shared" si="169"/>
        <v>0</v>
      </c>
      <c r="V141" s="1304">
        <f t="shared" si="169"/>
        <v>0</v>
      </c>
      <c r="W141" s="1316">
        <f>SUM(W142)</f>
        <v>605000</v>
      </c>
      <c r="X141" s="1578">
        <f t="shared" si="162"/>
        <v>100.49833887043189</v>
      </c>
      <c r="Y141" s="2457">
        <f>'[1]PRIH REBALANS'!$AK$467</f>
        <v>605000</v>
      </c>
      <c r="Z141" s="1136"/>
      <c r="AA141" s="1136">
        <f>'[9]PRIH REBALANS'!$AK$467</f>
        <v>605000</v>
      </c>
      <c r="AB141" s="1293">
        <f t="shared" si="148"/>
        <v>0</v>
      </c>
      <c r="AC141" s="1293">
        <f t="shared" si="157"/>
        <v>0</v>
      </c>
      <c r="AD141" s="1293">
        <f t="shared" si="163"/>
        <v>3000</v>
      </c>
      <c r="AE141" s="1293">
        <f t="shared" si="154"/>
        <v>0</v>
      </c>
      <c r="AF141" s="1294"/>
      <c r="AG141" s="1294"/>
      <c r="AH141" s="1294">
        <f t="shared" si="155"/>
        <v>3000</v>
      </c>
      <c r="AI141" s="1294">
        <f t="shared" si="158"/>
        <v>0</v>
      </c>
      <c r="AJ141" s="1293">
        <f t="shared" si="164"/>
        <v>0</v>
      </c>
      <c r="AK141" s="1294"/>
      <c r="AL141" s="1294"/>
      <c r="AM141" s="1294"/>
      <c r="AN141" s="1294"/>
      <c r="AO141" s="1294"/>
      <c r="AP141" s="1294"/>
      <c r="AQ141" s="1294"/>
      <c r="AR141" s="1294">
        <f t="shared" si="149"/>
        <v>0</v>
      </c>
      <c r="AS141" s="1136">
        <f>SUM(W142)</f>
        <v>605000</v>
      </c>
      <c r="AT141" s="668">
        <f t="shared" si="150"/>
        <v>0</v>
      </c>
      <c r="AU141" s="463">
        <f>W142</f>
        <v>605000</v>
      </c>
      <c r="AV141" s="468">
        <f t="shared" si="144"/>
        <v>0</v>
      </c>
      <c r="AW141" s="468">
        <f t="shared" si="151"/>
        <v>605000</v>
      </c>
      <c r="AX141" s="463"/>
      <c r="AY141" s="463"/>
      <c r="AZ141" s="463"/>
      <c r="BA141" s="463"/>
      <c r="BB141" s="463"/>
      <c r="BC141" s="437">
        <f>'[2]PRIH REBALANS'!$AK$486</f>
        <v>602000</v>
      </c>
      <c r="BD141" s="437"/>
      <c r="BE141">
        <f t="shared" si="152"/>
        <v>100.49833887043189</v>
      </c>
      <c r="BF141" s="437">
        <f t="shared" si="153"/>
        <v>0</v>
      </c>
      <c r="BG141" s="209">
        <f>W142</f>
        <v>605000</v>
      </c>
    </row>
    <row r="142" spans="1:59" ht="39" customHeight="1">
      <c r="A142" s="1572"/>
      <c r="B142" s="1573"/>
      <c r="C142" s="1573"/>
      <c r="D142" s="1378">
        <v>111</v>
      </c>
      <c r="E142" s="1373"/>
      <c r="F142" s="1796">
        <v>612110</v>
      </c>
      <c r="G142" s="1838" t="s">
        <v>217</v>
      </c>
      <c r="H142" s="1575">
        <v>610000</v>
      </c>
      <c r="I142" s="1575"/>
      <c r="J142" s="1575"/>
      <c r="K142" s="1374">
        <f>SUM(H142:J142)</f>
        <v>610000</v>
      </c>
      <c r="L142" s="1623">
        <v>602000</v>
      </c>
      <c r="M142" s="1301"/>
      <c r="N142" s="1302"/>
      <c r="O142" s="1375">
        <f>SUM(L142:N142)</f>
        <v>602000</v>
      </c>
      <c r="P142" s="1577"/>
      <c r="Q142" s="1301"/>
      <c r="R142" s="1302"/>
      <c r="S142" s="1375">
        <f>SUM(P142:R142)</f>
        <v>0</v>
      </c>
      <c r="T142" s="1577">
        <v>605000</v>
      </c>
      <c r="U142" s="1301"/>
      <c r="V142" s="1302"/>
      <c r="W142" s="1375">
        <f>SUM(T142:V142)</f>
        <v>605000</v>
      </c>
      <c r="X142" s="1578">
        <f t="shared" si="162"/>
        <v>100.49833887043189</v>
      </c>
      <c r="Y142" s="2457"/>
      <c r="Z142" s="1136"/>
      <c r="AA142" s="1136"/>
      <c r="AB142" s="1293">
        <f t="shared" si="148"/>
        <v>0</v>
      </c>
      <c r="AC142" s="1293">
        <f t="shared" si="157"/>
        <v>0</v>
      </c>
      <c r="AD142" s="1293">
        <f t="shared" si="163"/>
        <v>3000</v>
      </c>
      <c r="AE142" s="1293">
        <f t="shared" si="154"/>
        <v>0</v>
      </c>
      <c r="AF142" s="1294"/>
      <c r="AG142" s="1294"/>
      <c r="AH142" s="1294">
        <f t="shared" si="155"/>
        <v>3000</v>
      </c>
      <c r="AI142" s="1294">
        <f t="shared" si="158"/>
        <v>0</v>
      </c>
      <c r="AJ142" s="1293">
        <f t="shared" si="164"/>
        <v>0</v>
      </c>
      <c r="AK142" s="1294"/>
      <c r="AL142" s="1294"/>
      <c r="AM142" s="1294"/>
      <c r="AN142" s="1294"/>
      <c r="AO142" s="1294"/>
      <c r="AP142" s="1294"/>
      <c r="AQ142" s="1294"/>
      <c r="AR142" s="1294">
        <f t="shared" si="149"/>
        <v>0</v>
      </c>
      <c r="AS142" s="1136"/>
      <c r="AT142" s="668">
        <f t="shared" si="150"/>
        <v>0</v>
      </c>
      <c r="AU142" s="463"/>
      <c r="AV142" s="468">
        <f t="shared" si="144"/>
        <v>0</v>
      </c>
      <c r="AW142" s="468">
        <f t="shared" si="151"/>
        <v>605000</v>
      </c>
      <c r="AX142" s="272"/>
      <c r="AY142" s="272"/>
      <c r="AZ142" s="272"/>
      <c r="BA142" s="272"/>
      <c r="BB142" s="272"/>
      <c r="BC142" s="437">
        <f>T142+U142+V142+-W142</f>
        <v>0</v>
      </c>
      <c r="BD142" s="437"/>
      <c r="BE142">
        <f t="shared" si="152"/>
        <v>100.49833887043189</v>
      </c>
      <c r="BF142" s="437">
        <f t="shared" si="153"/>
        <v>0</v>
      </c>
    </row>
    <row r="143" spans="1:59" ht="39" customHeight="1">
      <c r="A143" s="1572"/>
      <c r="B143" s="1573"/>
      <c r="C143" s="1573"/>
      <c r="D143" s="1378">
        <v>111</v>
      </c>
      <c r="E143" s="1378" t="s">
        <v>206</v>
      </c>
      <c r="F143" s="1795">
        <v>613000</v>
      </c>
      <c r="G143" s="1840" t="s">
        <v>169</v>
      </c>
      <c r="H143" s="1380">
        <f t="shared" ref="H143:O143" si="170">SUM(H144:H153)</f>
        <v>1460200</v>
      </c>
      <c r="I143" s="1380">
        <f t="shared" si="170"/>
        <v>0</v>
      </c>
      <c r="J143" s="1380">
        <f t="shared" si="170"/>
        <v>0</v>
      </c>
      <c r="K143" s="1381">
        <f t="shared" si="170"/>
        <v>1460200</v>
      </c>
      <c r="L143" s="1601">
        <f t="shared" si="170"/>
        <v>1585000</v>
      </c>
      <c r="M143" s="1303">
        <f t="shared" si="170"/>
        <v>0</v>
      </c>
      <c r="N143" s="1304">
        <f t="shared" si="170"/>
        <v>0</v>
      </c>
      <c r="O143" s="1336">
        <f t="shared" si="170"/>
        <v>1585000</v>
      </c>
      <c r="P143" s="1601">
        <f t="shared" ref="P143:V143" si="171">SUM(P144:P153)</f>
        <v>1804000</v>
      </c>
      <c r="Q143" s="1303">
        <f t="shared" si="171"/>
        <v>0</v>
      </c>
      <c r="R143" s="1304">
        <f t="shared" si="171"/>
        <v>0</v>
      </c>
      <c r="S143" s="1336">
        <f t="shared" si="171"/>
        <v>1804000</v>
      </c>
      <c r="T143" s="1601">
        <f t="shared" si="171"/>
        <v>1804000</v>
      </c>
      <c r="U143" s="1303">
        <f t="shared" si="171"/>
        <v>0</v>
      </c>
      <c r="V143" s="1304">
        <f t="shared" si="171"/>
        <v>0</v>
      </c>
      <c r="W143" s="1316">
        <f>SUM(W144:W153)</f>
        <v>1804000</v>
      </c>
      <c r="X143" s="1578">
        <f t="shared" si="162"/>
        <v>113.81703470031546</v>
      </c>
      <c r="Y143" s="2457">
        <f>'[1]PRIH REBALANS'!$AK$469</f>
        <v>1804000</v>
      </c>
      <c r="Z143" s="1136"/>
      <c r="AA143" s="1136">
        <f>'[9]PRIH REBALANS'!$AK$469</f>
        <v>1804000</v>
      </c>
      <c r="AB143" s="1293">
        <f t="shared" si="148"/>
        <v>0</v>
      </c>
      <c r="AC143" s="1293">
        <f t="shared" si="157"/>
        <v>0</v>
      </c>
      <c r="AD143" s="1293">
        <f t="shared" si="163"/>
        <v>219000</v>
      </c>
      <c r="AE143" s="1293">
        <f t="shared" si="154"/>
        <v>0</v>
      </c>
      <c r="AF143" s="1294"/>
      <c r="AG143" s="1294"/>
      <c r="AH143" s="1294">
        <f t="shared" si="155"/>
        <v>219000</v>
      </c>
      <c r="AI143" s="1294">
        <f t="shared" si="158"/>
        <v>0</v>
      </c>
      <c r="AJ143" s="1293">
        <f t="shared" si="164"/>
        <v>0</v>
      </c>
      <c r="AK143" s="1294"/>
      <c r="AL143" s="1294"/>
      <c r="AM143" s="1294"/>
      <c r="AN143" s="1294"/>
      <c r="AO143" s="1294"/>
      <c r="AP143" s="1294"/>
      <c r="AQ143" s="1294"/>
      <c r="AR143" s="1294">
        <f t="shared" si="149"/>
        <v>0</v>
      </c>
      <c r="AS143" s="1136">
        <f>SUM(W144:W153)</f>
        <v>1804000</v>
      </c>
      <c r="AT143" s="668">
        <f t="shared" si="150"/>
        <v>0</v>
      </c>
      <c r="AU143" s="463">
        <f>SUM(W144:W153)</f>
        <v>1804000</v>
      </c>
      <c r="AV143" s="468">
        <f t="shared" si="144"/>
        <v>0</v>
      </c>
      <c r="AW143" s="468">
        <f t="shared" si="151"/>
        <v>1804000</v>
      </c>
      <c r="AX143" s="463"/>
      <c r="AY143" s="463"/>
      <c r="AZ143" s="463"/>
      <c r="BA143" s="463"/>
      <c r="BB143" s="463"/>
      <c r="BC143" s="437">
        <f>'[2]PRIH REBALANS'!$AK$488</f>
        <v>1585000</v>
      </c>
      <c r="BD143" s="437"/>
      <c r="BE143">
        <f t="shared" si="152"/>
        <v>113.81703470031546</v>
      </c>
      <c r="BF143" s="437">
        <f t="shared" si="153"/>
        <v>0</v>
      </c>
      <c r="BG143" s="209">
        <f>SUM(W144:W153)</f>
        <v>1804000</v>
      </c>
    </row>
    <row r="144" spans="1:59" ht="39" customHeight="1">
      <c r="A144" s="1572"/>
      <c r="B144" s="1573"/>
      <c r="C144" s="1573"/>
      <c r="D144" s="1378">
        <v>111</v>
      </c>
      <c r="E144" s="1574"/>
      <c r="F144" s="1796">
        <v>613100</v>
      </c>
      <c r="G144" s="1837" t="s">
        <v>170</v>
      </c>
      <c r="H144" s="1608">
        <v>2000</v>
      </c>
      <c r="I144" s="1575"/>
      <c r="J144" s="1575"/>
      <c r="K144" s="1576">
        <f t="shared" ref="K144:K152" si="172">SUM(H144:J144)</f>
        <v>2000</v>
      </c>
      <c r="L144" s="1627">
        <v>2000</v>
      </c>
      <c r="M144" s="1301"/>
      <c r="N144" s="1302"/>
      <c r="O144" s="1476">
        <f t="shared" ref="O144:O152" si="173">SUM(L144:N144)</f>
        <v>2000</v>
      </c>
      <c r="P144" s="1627">
        <v>4000</v>
      </c>
      <c r="Q144" s="1301"/>
      <c r="R144" s="1302"/>
      <c r="S144" s="1476">
        <f t="shared" ref="S144:S152" si="174">SUM(P144:R144)</f>
        <v>4000</v>
      </c>
      <c r="T144" s="1627">
        <v>4000</v>
      </c>
      <c r="U144" s="1301"/>
      <c r="V144" s="1302"/>
      <c r="W144" s="1476">
        <f>SUM(T144:V144)</f>
        <v>4000</v>
      </c>
      <c r="X144" s="1578">
        <f t="shared" si="162"/>
        <v>200</v>
      </c>
      <c r="Y144" s="2457"/>
      <c r="Z144" s="1136"/>
      <c r="AA144" s="1136"/>
      <c r="AB144" s="1293">
        <f t="shared" si="148"/>
        <v>0</v>
      </c>
      <c r="AC144" s="1293">
        <f t="shared" si="157"/>
        <v>0</v>
      </c>
      <c r="AD144" s="1293">
        <f t="shared" si="163"/>
        <v>2000</v>
      </c>
      <c r="AE144" s="1293">
        <f t="shared" si="154"/>
        <v>0</v>
      </c>
      <c r="AF144" s="1294"/>
      <c r="AG144" s="1294"/>
      <c r="AH144" s="1294">
        <f t="shared" si="155"/>
        <v>2000</v>
      </c>
      <c r="AI144" s="1294">
        <f t="shared" si="158"/>
        <v>0</v>
      </c>
      <c r="AJ144" s="1293">
        <f t="shared" si="164"/>
        <v>0</v>
      </c>
      <c r="AK144" s="1294"/>
      <c r="AL144" s="1294"/>
      <c r="AM144" s="1294"/>
      <c r="AN144" s="1294"/>
      <c r="AO144" s="1294"/>
      <c r="AP144" s="1294"/>
      <c r="AQ144" s="1294"/>
      <c r="AR144" s="1294">
        <f t="shared" si="149"/>
        <v>0</v>
      </c>
      <c r="AS144" s="1136"/>
      <c r="AT144" s="668">
        <f t="shared" si="150"/>
        <v>0</v>
      </c>
      <c r="AU144" s="463"/>
      <c r="AV144" s="468">
        <f t="shared" si="144"/>
        <v>0</v>
      </c>
      <c r="AW144" s="468">
        <f t="shared" si="151"/>
        <v>4000</v>
      </c>
      <c r="AX144" s="272"/>
      <c r="AY144" s="272"/>
      <c r="AZ144" s="272"/>
      <c r="BA144" s="272"/>
      <c r="BB144" s="272"/>
      <c r="BC144" s="437">
        <f t="shared" ref="BC144:BC152" si="175">T144+U144+V144+-W144</f>
        <v>0</v>
      </c>
      <c r="BD144" s="437"/>
      <c r="BE144">
        <f t="shared" si="152"/>
        <v>200</v>
      </c>
      <c r="BF144" s="437">
        <f t="shared" si="153"/>
        <v>0</v>
      </c>
    </row>
    <row r="145" spans="1:59" ht="39" customHeight="1">
      <c r="A145" s="1572"/>
      <c r="B145" s="1573"/>
      <c r="C145" s="1573"/>
      <c r="D145" s="1378">
        <v>111</v>
      </c>
      <c r="E145" s="1574"/>
      <c r="F145" s="1796">
        <v>613200</v>
      </c>
      <c r="G145" s="1837" t="s">
        <v>171</v>
      </c>
      <c r="H145" s="1608">
        <v>180000</v>
      </c>
      <c r="I145" s="1575"/>
      <c r="J145" s="1575"/>
      <c r="K145" s="1576">
        <f t="shared" si="172"/>
        <v>180000</v>
      </c>
      <c r="L145" s="1627">
        <v>180000</v>
      </c>
      <c r="M145" s="1301"/>
      <c r="N145" s="1302"/>
      <c r="O145" s="1476">
        <f t="shared" si="173"/>
        <v>180000</v>
      </c>
      <c r="P145" s="1627">
        <v>200000</v>
      </c>
      <c r="Q145" s="1301"/>
      <c r="R145" s="1302"/>
      <c r="S145" s="1476">
        <f t="shared" si="174"/>
        <v>200000</v>
      </c>
      <c r="T145" s="1627">
        <v>200000</v>
      </c>
      <c r="U145" s="1301"/>
      <c r="V145" s="1302"/>
      <c r="W145" s="1476">
        <f t="shared" ref="W145:W152" si="176">SUM(T145:V145)</f>
        <v>200000</v>
      </c>
      <c r="X145" s="1578">
        <f t="shared" si="162"/>
        <v>111.11111111111111</v>
      </c>
      <c r="Y145" s="2457"/>
      <c r="Z145" s="1136"/>
      <c r="AA145" s="1136"/>
      <c r="AB145" s="1293">
        <f t="shared" si="148"/>
        <v>0</v>
      </c>
      <c r="AC145" s="1293">
        <f t="shared" si="157"/>
        <v>0</v>
      </c>
      <c r="AD145" s="1293">
        <f t="shared" si="163"/>
        <v>20000</v>
      </c>
      <c r="AE145" s="1293">
        <f t="shared" si="154"/>
        <v>0</v>
      </c>
      <c r="AF145" s="1294"/>
      <c r="AG145" s="1294"/>
      <c r="AH145" s="1294">
        <f t="shared" si="155"/>
        <v>20000</v>
      </c>
      <c r="AI145" s="1294">
        <f t="shared" si="158"/>
        <v>0</v>
      </c>
      <c r="AJ145" s="1293">
        <f t="shared" si="164"/>
        <v>0</v>
      </c>
      <c r="AK145" s="1294"/>
      <c r="AL145" s="1294"/>
      <c r="AM145" s="1294"/>
      <c r="AN145" s="1294"/>
      <c r="AO145" s="1294"/>
      <c r="AP145" s="1294"/>
      <c r="AQ145" s="1294"/>
      <c r="AR145" s="1294">
        <f t="shared" si="149"/>
        <v>0</v>
      </c>
      <c r="AS145" s="1136"/>
      <c r="AT145" s="668">
        <f t="shared" si="150"/>
        <v>0</v>
      </c>
      <c r="AU145" s="463"/>
      <c r="AV145" s="468">
        <f t="shared" si="144"/>
        <v>0</v>
      </c>
      <c r="AW145" s="468">
        <f t="shared" si="151"/>
        <v>200000</v>
      </c>
      <c r="AX145" s="272"/>
      <c r="AY145" s="272"/>
      <c r="AZ145" s="272"/>
      <c r="BA145" s="272"/>
      <c r="BB145" s="272"/>
      <c r="BC145" s="437">
        <f t="shared" si="175"/>
        <v>0</v>
      </c>
      <c r="BD145" s="437"/>
      <c r="BE145">
        <f t="shared" si="152"/>
        <v>111.11111111111111</v>
      </c>
      <c r="BF145" s="437">
        <f t="shared" si="153"/>
        <v>0</v>
      </c>
    </row>
    <row r="146" spans="1:59" ht="39" customHeight="1">
      <c r="A146" s="1572"/>
      <c r="B146" s="1573"/>
      <c r="C146" s="1573"/>
      <c r="D146" s="1378">
        <v>111</v>
      </c>
      <c r="E146" s="1574"/>
      <c r="F146" s="1796">
        <v>613300</v>
      </c>
      <c r="G146" s="1837" t="s">
        <v>262</v>
      </c>
      <c r="H146" s="1608">
        <v>760000</v>
      </c>
      <c r="I146" s="1575"/>
      <c r="J146" s="1575"/>
      <c r="K146" s="1576">
        <f t="shared" si="172"/>
        <v>760000</v>
      </c>
      <c r="L146" s="1627">
        <v>800000</v>
      </c>
      <c r="M146" s="1301"/>
      <c r="N146" s="1302"/>
      <c r="O146" s="1476">
        <f t="shared" si="173"/>
        <v>800000</v>
      </c>
      <c r="P146" s="1627">
        <v>900000</v>
      </c>
      <c r="Q146" s="1301"/>
      <c r="R146" s="1302"/>
      <c r="S146" s="1476">
        <f t="shared" si="174"/>
        <v>900000</v>
      </c>
      <c r="T146" s="1627">
        <v>900000</v>
      </c>
      <c r="U146" s="1301"/>
      <c r="V146" s="1302"/>
      <c r="W146" s="1476">
        <f t="shared" si="176"/>
        <v>900000</v>
      </c>
      <c r="X146" s="1578">
        <f t="shared" si="162"/>
        <v>112.5</v>
      </c>
      <c r="Y146" s="2457"/>
      <c r="Z146" s="1136"/>
      <c r="AA146" s="1136"/>
      <c r="AB146" s="1293">
        <f t="shared" si="148"/>
        <v>0</v>
      </c>
      <c r="AC146" s="1293">
        <f t="shared" si="157"/>
        <v>0</v>
      </c>
      <c r="AD146" s="1293">
        <f t="shared" si="163"/>
        <v>100000</v>
      </c>
      <c r="AE146" s="1293">
        <f t="shared" si="154"/>
        <v>0</v>
      </c>
      <c r="AF146" s="1294"/>
      <c r="AG146" s="1294"/>
      <c r="AH146" s="1294">
        <f t="shared" si="155"/>
        <v>100000</v>
      </c>
      <c r="AI146" s="1294">
        <f t="shared" si="158"/>
        <v>0</v>
      </c>
      <c r="AJ146" s="1293">
        <f t="shared" si="164"/>
        <v>0</v>
      </c>
      <c r="AK146" s="1294"/>
      <c r="AL146" s="1294"/>
      <c r="AM146" s="1294"/>
      <c r="AN146" s="1294"/>
      <c r="AO146" s="1294"/>
      <c r="AP146" s="1294"/>
      <c r="AQ146" s="1294"/>
      <c r="AR146" s="1294">
        <f t="shared" si="149"/>
        <v>0</v>
      </c>
      <c r="AS146" s="1136"/>
      <c r="AT146" s="668">
        <f t="shared" si="150"/>
        <v>0</v>
      </c>
      <c r="AU146" s="463"/>
      <c r="AV146" s="468">
        <f t="shared" si="144"/>
        <v>0</v>
      </c>
      <c r="AW146" s="468">
        <f t="shared" si="151"/>
        <v>900000</v>
      </c>
      <c r="AX146" s="272"/>
      <c r="AY146" s="272"/>
      <c r="AZ146" s="272"/>
      <c r="BA146" s="272"/>
      <c r="BB146" s="272"/>
      <c r="BC146" s="437">
        <f t="shared" si="175"/>
        <v>0</v>
      </c>
      <c r="BD146" s="437"/>
      <c r="BE146">
        <f t="shared" si="152"/>
        <v>112.5</v>
      </c>
      <c r="BF146" s="437">
        <f t="shared" si="153"/>
        <v>0</v>
      </c>
    </row>
    <row r="147" spans="1:59" ht="39" customHeight="1">
      <c r="A147" s="1572"/>
      <c r="B147" s="1573"/>
      <c r="C147" s="1573"/>
      <c r="D147" s="1378">
        <v>111</v>
      </c>
      <c r="E147" s="1574"/>
      <c r="F147" s="1796">
        <v>613400</v>
      </c>
      <c r="G147" s="1837" t="s">
        <v>246</v>
      </c>
      <c r="H147" s="1608">
        <v>95000</v>
      </c>
      <c r="I147" s="1575"/>
      <c r="J147" s="1575"/>
      <c r="K147" s="1576">
        <f t="shared" si="172"/>
        <v>95000</v>
      </c>
      <c r="L147" s="1627">
        <v>95000</v>
      </c>
      <c r="M147" s="1301"/>
      <c r="N147" s="1302"/>
      <c r="O147" s="1476">
        <f t="shared" si="173"/>
        <v>95000</v>
      </c>
      <c r="P147" s="1627">
        <v>130000</v>
      </c>
      <c r="Q147" s="1301"/>
      <c r="R147" s="1302"/>
      <c r="S147" s="1476">
        <f t="shared" si="174"/>
        <v>130000</v>
      </c>
      <c r="T147" s="1627">
        <v>130000</v>
      </c>
      <c r="U147" s="1301"/>
      <c r="V147" s="1302"/>
      <c r="W147" s="1476">
        <f t="shared" si="176"/>
        <v>130000</v>
      </c>
      <c r="X147" s="1578">
        <f t="shared" si="162"/>
        <v>136.84210526315789</v>
      </c>
      <c r="Y147" s="2457"/>
      <c r="Z147" s="1136"/>
      <c r="AA147" s="1136"/>
      <c r="AB147" s="1293">
        <f t="shared" si="148"/>
        <v>0</v>
      </c>
      <c r="AC147" s="1293">
        <f t="shared" si="157"/>
        <v>0</v>
      </c>
      <c r="AD147" s="1293">
        <f t="shared" si="163"/>
        <v>35000</v>
      </c>
      <c r="AE147" s="1293">
        <f t="shared" si="154"/>
        <v>0</v>
      </c>
      <c r="AF147" s="1294"/>
      <c r="AG147" s="1294"/>
      <c r="AH147" s="1294">
        <f t="shared" si="155"/>
        <v>35000</v>
      </c>
      <c r="AI147" s="1294">
        <f t="shared" si="158"/>
        <v>0</v>
      </c>
      <c r="AJ147" s="1293">
        <f t="shared" si="164"/>
        <v>0</v>
      </c>
      <c r="AK147" s="1294"/>
      <c r="AL147" s="1294"/>
      <c r="AM147" s="1294"/>
      <c r="AN147" s="1294"/>
      <c r="AO147" s="1294"/>
      <c r="AP147" s="1294"/>
      <c r="AQ147" s="1294"/>
      <c r="AR147" s="1294">
        <f t="shared" si="149"/>
        <v>0</v>
      </c>
      <c r="AS147" s="1136"/>
      <c r="AT147" s="668">
        <f t="shared" si="150"/>
        <v>0</v>
      </c>
      <c r="AU147" s="463"/>
      <c r="AV147" s="468">
        <f t="shared" si="144"/>
        <v>0</v>
      </c>
      <c r="AW147" s="468">
        <f t="shared" si="151"/>
        <v>130000</v>
      </c>
      <c r="AX147" s="272"/>
      <c r="AY147" s="272"/>
      <c r="AZ147" s="272"/>
      <c r="BA147" s="272"/>
      <c r="BB147" s="272"/>
      <c r="BC147" s="437">
        <f t="shared" si="175"/>
        <v>0</v>
      </c>
      <c r="BD147" s="437"/>
      <c r="BE147">
        <f t="shared" si="152"/>
        <v>136.84210526315789</v>
      </c>
      <c r="BF147" s="437">
        <f t="shared" si="153"/>
        <v>0</v>
      </c>
    </row>
    <row r="148" spans="1:59" ht="39" customHeight="1">
      <c r="A148" s="1572"/>
      <c r="B148" s="1573"/>
      <c r="C148" s="1573"/>
      <c r="D148" s="1378">
        <v>111</v>
      </c>
      <c r="E148" s="1574"/>
      <c r="F148" s="1796">
        <v>613500</v>
      </c>
      <c r="G148" s="1837" t="s">
        <v>677</v>
      </c>
      <c r="H148" s="1608">
        <v>20000</v>
      </c>
      <c r="I148" s="1575"/>
      <c r="J148" s="1575"/>
      <c r="K148" s="1576">
        <f t="shared" si="172"/>
        <v>20000</v>
      </c>
      <c r="L148" s="1627">
        <v>15000</v>
      </c>
      <c r="M148" s="1301"/>
      <c r="N148" s="1302"/>
      <c r="O148" s="1476">
        <f t="shared" si="173"/>
        <v>15000</v>
      </c>
      <c r="P148" s="1627">
        <v>15000</v>
      </c>
      <c r="Q148" s="1301"/>
      <c r="R148" s="1302"/>
      <c r="S148" s="1476">
        <f t="shared" si="174"/>
        <v>15000</v>
      </c>
      <c r="T148" s="1627">
        <v>15000</v>
      </c>
      <c r="U148" s="1301"/>
      <c r="V148" s="1302"/>
      <c r="W148" s="1476">
        <f t="shared" si="176"/>
        <v>15000</v>
      </c>
      <c r="X148" s="1578">
        <f t="shared" si="162"/>
        <v>100</v>
      </c>
      <c r="Y148" s="2457"/>
      <c r="Z148" s="1136"/>
      <c r="AA148" s="1136"/>
      <c r="AB148" s="1293">
        <f t="shared" si="148"/>
        <v>0</v>
      </c>
      <c r="AC148" s="1293">
        <f t="shared" si="157"/>
        <v>0</v>
      </c>
      <c r="AD148" s="1293">
        <f t="shared" si="163"/>
        <v>0</v>
      </c>
      <c r="AE148" s="1293">
        <f t="shared" si="154"/>
        <v>0</v>
      </c>
      <c r="AF148" s="1294"/>
      <c r="AG148" s="1294"/>
      <c r="AH148" s="1294">
        <f t="shared" si="155"/>
        <v>0</v>
      </c>
      <c r="AI148" s="1294">
        <f t="shared" si="158"/>
        <v>0</v>
      </c>
      <c r="AJ148" s="1293">
        <f t="shared" si="164"/>
        <v>0</v>
      </c>
      <c r="AK148" s="1294"/>
      <c r="AL148" s="1294"/>
      <c r="AM148" s="1294"/>
      <c r="AN148" s="1294"/>
      <c r="AO148" s="1294"/>
      <c r="AP148" s="1294"/>
      <c r="AQ148" s="1294"/>
      <c r="AR148" s="1294">
        <f t="shared" si="149"/>
        <v>0</v>
      </c>
      <c r="AS148" s="1136"/>
      <c r="AT148" s="668">
        <f t="shared" si="150"/>
        <v>0</v>
      </c>
      <c r="AU148" s="463"/>
      <c r="AV148" s="468">
        <f t="shared" si="144"/>
        <v>0</v>
      </c>
      <c r="AW148" s="468">
        <f t="shared" si="151"/>
        <v>15000</v>
      </c>
      <c r="AX148" s="272"/>
      <c r="AY148" s="272"/>
      <c r="AZ148" s="272"/>
      <c r="BA148" s="272"/>
      <c r="BB148" s="272"/>
      <c r="BC148" s="437">
        <f t="shared" si="175"/>
        <v>0</v>
      </c>
      <c r="BD148" s="437"/>
      <c r="BE148">
        <f t="shared" si="152"/>
        <v>100</v>
      </c>
      <c r="BF148" s="437">
        <f t="shared" si="153"/>
        <v>0</v>
      </c>
    </row>
    <row r="149" spans="1:59" ht="39" customHeight="1">
      <c r="A149" s="1572"/>
      <c r="B149" s="1573"/>
      <c r="C149" s="1573"/>
      <c r="D149" s="1378">
        <v>111</v>
      </c>
      <c r="E149" s="1574"/>
      <c r="F149" s="1796">
        <v>613600</v>
      </c>
      <c r="G149" s="1837" t="s">
        <v>271</v>
      </c>
      <c r="H149" s="1608">
        <v>65000</v>
      </c>
      <c r="I149" s="1575"/>
      <c r="J149" s="1575"/>
      <c r="K149" s="1576">
        <f t="shared" si="172"/>
        <v>65000</v>
      </c>
      <c r="L149" s="1627">
        <v>100000</v>
      </c>
      <c r="M149" s="1301"/>
      <c r="N149" s="1302"/>
      <c r="O149" s="1476">
        <f t="shared" si="173"/>
        <v>100000</v>
      </c>
      <c r="P149" s="1627">
        <v>100000</v>
      </c>
      <c r="Q149" s="1301"/>
      <c r="R149" s="1302"/>
      <c r="S149" s="1476">
        <f t="shared" si="174"/>
        <v>100000</v>
      </c>
      <c r="T149" s="1627">
        <v>100000</v>
      </c>
      <c r="U149" s="1301"/>
      <c r="V149" s="1302"/>
      <c r="W149" s="1476">
        <f t="shared" si="176"/>
        <v>100000</v>
      </c>
      <c r="X149" s="1578">
        <f t="shared" si="162"/>
        <v>100</v>
      </c>
      <c r="Y149" s="2457"/>
      <c r="Z149" s="1136"/>
      <c r="AA149" s="1136"/>
      <c r="AB149" s="1293">
        <f t="shared" si="148"/>
        <v>0</v>
      </c>
      <c r="AC149" s="1293">
        <f t="shared" si="157"/>
        <v>0</v>
      </c>
      <c r="AD149" s="1293">
        <f t="shared" si="163"/>
        <v>0</v>
      </c>
      <c r="AE149" s="1293">
        <f t="shared" si="154"/>
        <v>0</v>
      </c>
      <c r="AF149" s="1294"/>
      <c r="AG149" s="1294"/>
      <c r="AH149" s="1294">
        <f t="shared" si="155"/>
        <v>0</v>
      </c>
      <c r="AI149" s="1294">
        <f t="shared" si="158"/>
        <v>0</v>
      </c>
      <c r="AJ149" s="1293">
        <f t="shared" si="164"/>
        <v>0</v>
      </c>
      <c r="AK149" s="1294"/>
      <c r="AL149" s="1294"/>
      <c r="AM149" s="1294"/>
      <c r="AN149" s="1294"/>
      <c r="AO149" s="1294"/>
      <c r="AP149" s="1294"/>
      <c r="AQ149" s="1294"/>
      <c r="AR149" s="1294">
        <f t="shared" si="149"/>
        <v>0</v>
      </c>
      <c r="AS149" s="1136"/>
      <c r="AT149" s="668">
        <f t="shared" si="150"/>
        <v>0</v>
      </c>
      <c r="AU149" s="463"/>
      <c r="AV149" s="468">
        <f t="shared" si="144"/>
        <v>0</v>
      </c>
      <c r="AW149" s="468">
        <f t="shared" si="151"/>
        <v>100000</v>
      </c>
      <c r="AX149" s="671"/>
      <c r="AY149" s="671"/>
      <c r="AZ149" s="671"/>
      <c r="BA149" s="671"/>
      <c r="BB149" s="671"/>
      <c r="BC149" s="437">
        <f t="shared" si="175"/>
        <v>0</v>
      </c>
      <c r="BD149" s="437"/>
      <c r="BE149">
        <f t="shared" si="152"/>
        <v>100</v>
      </c>
      <c r="BF149" s="437">
        <f t="shared" si="153"/>
        <v>0</v>
      </c>
    </row>
    <row r="150" spans="1:59" ht="39" customHeight="1">
      <c r="A150" s="1572"/>
      <c r="B150" s="1573"/>
      <c r="C150" s="1573"/>
      <c r="D150" s="1378">
        <v>111</v>
      </c>
      <c r="E150" s="1574"/>
      <c r="F150" s="1796">
        <v>613700</v>
      </c>
      <c r="G150" s="1837" t="s">
        <v>272</v>
      </c>
      <c r="H150" s="1608">
        <v>150000</v>
      </c>
      <c r="I150" s="1575"/>
      <c r="J150" s="1575"/>
      <c r="K150" s="1576">
        <f t="shared" si="172"/>
        <v>150000</v>
      </c>
      <c r="L150" s="1627">
        <v>150000</v>
      </c>
      <c r="M150" s="1301"/>
      <c r="N150" s="1302"/>
      <c r="O150" s="1476">
        <f t="shared" si="173"/>
        <v>150000</v>
      </c>
      <c r="P150" s="1627">
        <v>250000</v>
      </c>
      <c r="Q150" s="1301"/>
      <c r="R150" s="1302"/>
      <c r="S150" s="1476">
        <f t="shared" si="174"/>
        <v>250000</v>
      </c>
      <c r="T150" s="1627">
        <v>250000</v>
      </c>
      <c r="U150" s="1301"/>
      <c r="V150" s="1302"/>
      <c r="W150" s="1476">
        <f t="shared" si="176"/>
        <v>250000</v>
      </c>
      <c r="X150" s="1578">
        <f t="shared" si="162"/>
        <v>166.66666666666669</v>
      </c>
      <c r="Y150" s="2457"/>
      <c r="Z150" s="1136"/>
      <c r="AA150" s="1136"/>
      <c r="AB150" s="1293">
        <f t="shared" si="148"/>
        <v>0</v>
      </c>
      <c r="AC150" s="1293">
        <f t="shared" si="157"/>
        <v>0</v>
      </c>
      <c r="AD150" s="1293">
        <f t="shared" si="163"/>
        <v>100000</v>
      </c>
      <c r="AE150" s="1293">
        <f t="shared" si="154"/>
        <v>0</v>
      </c>
      <c r="AF150" s="1294"/>
      <c r="AG150" s="1294"/>
      <c r="AH150" s="1294">
        <f t="shared" si="155"/>
        <v>100000</v>
      </c>
      <c r="AI150" s="1294">
        <f t="shared" si="158"/>
        <v>0</v>
      </c>
      <c r="AJ150" s="1293">
        <f t="shared" si="164"/>
        <v>0</v>
      </c>
      <c r="AK150" s="1294"/>
      <c r="AL150" s="1294"/>
      <c r="AM150" s="1294"/>
      <c r="AN150" s="1294"/>
      <c r="AO150" s="1294"/>
      <c r="AP150" s="1294"/>
      <c r="AQ150" s="1294"/>
      <c r="AR150" s="1294">
        <f t="shared" si="149"/>
        <v>0</v>
      </c>
      <c r="AS150" s="1136"/>
      <c r="AT150" s="668">
        <f t="shared" si="150"/>
        <v>0</v>
      </c>
      <c r="AU150" s="463"/>
      <c r="AV150" s="468">
        <f t="shared" si="144"/>
        <v>0</v>
      </c>
      <c r="AW150" s="468">
        <f t="shared" si="151"/>
        <v>250000</v>
      </c>
      <c r="AX150" s="272"/>
      <c r="AY150" s="272"/>
      <c r="AZ150" s="272"/>
      <c r="BA150" s="272"/>
      <c r="BB150" s="272"/>
      <c r="BC150" s="437">
        <f t="shared" si="175"/>
        <v>0</v>
      </c>
      <c r="BD150" s="437"/>
      <c r="BE150">
        <f t="shared" si="152"/>
        <v>166.66666666666669</v>
      </c>
      <c r="BF150" s="437">
        <f t="shared" si="153"/>
        <v>0</v>
      </c>
    </row>
    <row r="151" spans="1:59" ht="39" customHeight="1">
      <c r="A151" s="1572"/>
      <c r="B151" s="1573"/>
      <c r="C151" s="1573"/>
      <c r="D151" s="1378">
        <v>111</v>
      </c>
      <c r="E151" s="1574"/>
      <c r="F151" s="1796">
        <v>613813</v>
      </c>
      <c r="G151" s="1837" t="s">
        <v>273</v>
      </c>
      <c r="H151" s="1608">
        <v>15000</v>
      </c>
      <c r="I151" s="1575"/>
      <c r="J151" s="1575"/>
      <c r="K151" s="1576">
        <f t="shared" si="172"/>
        <v>15000</v>
      </c>
      <c r="L151" s="1627">
        <v>15000</v>
      </c>
      <c r="M151" s="1301"/>
      <c r="N151" s="1302"/>
      <c r="O151" s="1476">
        <f t="shared" si="173"/>
        <v>15000</v>
      </c>
      <c r="P151" s="1627">
        <v>20000</v>
      </c>
      <c r="Q151" s="1301"/>
      <c r="R151" s="1302"/>
      <c r="S151" s="1476">
        <f t="shared" si="174"/>
        <v>20000</v>
      </c>
      <c r="T151" s="1627">
        <v>20000</v>
      </c>
      <c r="U151" s="1301"/>
      <c r="V151" s="1302"/>
      <c r="W151" s="1476">
        <f t="shared" si="176"/>
        <v>20000</v>
      </c>
      <c r="X151" s="1578">
        <f t="shared" si="162"/>
        <v>133.33333333333331</v>
      </c>
      <c r="Y151" s="2457"/>
      <c r="Z151" s="1136"/>
      <c r="AA151" s="1136"/>
      <c r="AB151" s="1293">
        <f t="shared" si="148"/>
        <v>0</v>
      </c>
      <c r="AC151" s="1293">
        <f t="shared" si="157"/>
        <v>0</v>
      </c>
      <c r="AD151" s="1293">
        <f t="shared" si="163"/>
        <v>5000</v>
      </c>
      <c r="AE151" s="1293">
        <f t="shared" si="154"/>
        <v>0</v>
      </c>
      <c r="AF151" s="1294"/>
      <c r="AG151" s="1294"/>
      <c r="AH151" s="1294">
        <f t="shared" si="155"/>
        <v>5000</v>
      </c>
      <c r="AI151" s="1294">
        <f t="shared" si="158"/>
        <v>0</v>
      </c>
      <c r="AJ151" s="1293">
        <f t="shared" si="164"/>
        <v>0</v>
      </c>
      <c r="AK151" s="1294"/>
      <c r="AL151" s="1294"/>
      <c r="AM151" s="1294"/>
      <c r="AN151" s="1294"/>
      <c r="AO151" s="1294"/>
      <c r="AP151" s="1294"/>
      <c r="AQ151" s="1294"/>
      <c r="AR151" s="1294">
        <f t="shared" si="149"/>
        <v>0</v>
      </c>
      <c r="AS151" s="1136"/>
      <c r="AT151" s="668">
        <f t="shared" si="150"/>
        <v>0</v>
      </c>
      <c r="AU151" s="463"/>
      <c r="AV151" s="468">
        <f t="shared" si="144"/>
        <v>0</v>
      </c>
      <c r="AW151" s="468">
        <f t="shared" si="151"/>
        <v>20000</v>
      </c>
      <c r="AX151" s="272"/>
      <c r="AY151" s="272"/>
      <c r="AZ151" s="272"/>
      <c r="BA151" s="272"/>
      <c r="BB151" s="272"/>
      <c r="BC151" s="437">
        <f t="shared" si="175"/>
        <v>0</v>
      </c>
      <c r="BD151" s="437"/>
      <c r="BE151">
        <f t="shared" si="152"/>
        <v>133.33333333333331</v>
      </c>
      <c r="BF151" s="437">
        <f t="shared" si="153"/>
        <v>0</v>
      </c>
    </row>
    <row r="152" spans="1:59" ht="39" customHeight="1">
      <c r="A152" s="1572"/>
      <c r="B152" s="1573"/>
      <c r="C152" s="1573"/>
      <c r="D152" s="1378">
        <v>111</v>
      </c>
      <c r="E152" s="1574"/>
      <c r="F152" s="1796">
        <v>613814</v>
      </c>
      <c r="G152" s="1837" t="s">
        <v>274</v>
      </c>
      <c r="H152" s="1608">
        <v>60000</v>
      </c>
      <c r="I152" s="1575"/>
      <c r="J152" s="1575"/>
      <c r="K152" s="1576">
        <f t="shared" si="172"/>
        <v>60000</v>
      </c>
      <c r="L152" s="1627">
        <v>60000</v>
      </c>
      <c r="M152" s="1301"/>
      <c r="N152" s="1302"/>
      <c r="O152" s="1476">
        <f t="shared" si="173"/>
        <v>60000</v>
      </c>
      <c r="P152" s="1627">
        <v>60000</v>
      </c>
      <c r="Q152" s="1301"/>
      <c r="R152" s="1302"/>
      <c r="S152" s="1476">
        <f t="shared" si="174"/>
        <v>60000</v>
      </c>
      <c r="T152" s="1627">
        <v>60000</v>
      </c>
      <c r="U152" s="1301"/>
      <c r="V152" s="1302"/>
      <c r="W152" s="1476">
        <f t="shared" si="176"/>
        <v>60000</v>
      </c>
      <c r="X152" s="1578">
        <f t="shared" si="162"/>
        <v>100</v>
      </c>
      <c r="Y152" s="2457"/>
      <c r="Z152" s="1136"/>
      <c r="AA152" s="1136"/>
      <c r="AB152" s="1293">
        <f t="shared" si="148"/>
        <v>0</v>
      </c>
      <c r="AC152" s="1293">
        <f t="shared" si="157"/>
        <v>0</v>
      </c>
      <c r="AD152" s="1293">
        <f t="shared" si="163"/>
        <v>0</v>
      </c>
      <c r="AE152" s="1293">
        <f t="shared" si="154"/>
        <v>0</v>
      </c>
      <c r="AF152" s="1294"/>
      <c r="AG152" s="1294"/>
      <c r="AH152" s="1294">
        <f t="shared" si="155"/>
        <v>0</v>
      </c>
      <c r="AI152" s="1294">
        <f t="shared" si="158"/>
        <v>0</v>
      </c>
      <c r="AJ152" s="1293">
        <f t="shared" si="164"/>
        <v>0</v>
      </c>
      <c r="AK152" s="1294"/>
      <c r="AL152" s="1294"/>
      <c r="AM152" s="1294"/>
      <c r="AN152" s="1294"/>
      <c r="AO152" s="1294"/>
      <c r="AP152" s="1294"/>
      <c r="AQ152" s="1294"/>
      <c r="AR152" s="1294">
        <f t="shared" si="149"/>
        <v>0</v>
      </c>
      <c r="AS152" s="1136"/>
      <c r="AT152" s="668">
        <f t="shared" si="150"/>
        <v>0</v>
      </c>
      <c r="AU152" s="463"/>
      <c r="AV152" s="468">
        <f t="shared" si="144"/>
        <v>0</v>
      </c>
      <c r="AW152" s="468">
        <f t="shared" si="151"/>
        <v>60000</v>
      </c>
      <c r="AX152" s="272"/>
      <c r="AY152" s="272"/>
      <c r="AZ152" s="272"/>
      <c r="BA152" s="272"/>
      <c r="BB152" s="272"/>
      <c r="BC152" s="437">
        <f t="shared" si="175"/>
        <v>0</v>
      </c>
      <c r="BD152" s="437"/>
      <c r="BE152">
        <f t="shared" si="152"/>
        <v>100</v>
      </c>
      <c r="BF152" s="437">
        <f t="shared" si="153"/>
        <v>0</v>
      </c>
    </row>
    <row r="153" spans="1:59" ht="39" customHeight="1">
      <c r="A153" s="1572"/>
      <c r="B153" s="1573"/>
      <c r="C153" s="1573"/>
      <c r="D153" s="1378">
        <v>111</v>
      </c>
      <c r="E153" s="1378" t="s">
        <v>206</v>
      </c>
      <c r="F153" s="1795">
        <v>613900</v>
      </c>
      <c r="G153" s="1840" t="s">
        <v>180</v>
      </c>
      <c r="H153" s="1380">
        <f t="shared" ref="H153:O153" si="177">SUM(H154:H159,H160)</f>
        <v>113200</v>
      </c>
      <c r="I153" s="1380">
        <f t="shared" si="177"/>
        <v>0</v>
      </c>
      <c r="J153" s="1380">
        <f t="shared" si="177"/>
        <v>0</v>
      </c>
      <c r="K153" s="1642">
        <f t="shared" si="177"/>
        <v>113200</v>
      </c>
      <c r="L153" s="1601">
        <f t="shared" si="177"/>
        <v>168000</v>
      </c>
      <c r="M153" s="1303">
        <f t="shared" si="177"/>
        <v>0</v>
      </c>
      <c r="N153" s="1304">
        <f t="shared" si="177"/>
        <v>0</v>
      </c>
      <c r="O153" s="1477">
        <f t="shared" si="177"/>
        <v>168000</v>
      </c>
      <c r="P153" s="1601">
        <f>SUM(P154:P160)</f>
        <v>125000</v>
      </c>
      <c r="Q153" s="1303"/>
      <c r="R153" s="1304"/>
      <c r="S153" s="1477">
        <f>SUM(S154:S160)</f>
        <v>125000</v>
      </c>
      <c r="T153" s="1601">
        <f>SUM(T154:T160)</f>
        <v>125000</v>
      </c>
      <c r="U153" s="1303"/>
      <c r="V153" s="1304"/>
      <c r="W153" s="1327">
        <f>SUM(W154:W160)</f>
        <v>125000</v>
      </c>
      <c r="X153" s="1578">
        <f t="shared" si="162"/>
        <v>74.404761904761912</v>
      </c>
      <c r="Y153" s="2457">
        <f>'[1]PRIH REBALANS'!$AK$479</f>
        <v>125000</v>
      </c>
      <c r="Z153" s="1136"/>
      <c r="AA153" s="1136">
        <f>'[9]PRIH REBALANS'!$AK$479</f>
        <v>125000</v>
      </c>
      <c r="AB153" s="1293">
        <f t="shared" si="148"/>
        <v>0</v>
      </c>
      <c r="AC153" s="1293">
        <f t="shared" si="157"/>
        <v>0</v>
      </c>
      <c r="AD153" s="1293">
        <f t="shared" si="163"/>
        <v>-43000</v>
      </c>
      <c r="AE153" s="1293">
        <f t="shared" si="154"/>
        <v>0</v>
      </c>
      <c r="AF153" s="1294"/>
      <c r="AG153" s="1294"/>
      <c r="AH153" s="1294">
        <f t="shared" si="155"/>
        <v>-43000</v>
      </c>
      <c r="AI153" s="1294">
        <f t="shared" si="158"/>
        <v>0</v>
      </c>
      <c r="AJ153" s="1293">
        <f t="shared" si="164"/>
        <v>0</v>
      </c>
      <c r="AK153" s="1294"/>
      <c r="AL153" s="1294"/>
      <c r="AM153" s="1294"/>
      <c r="AN153" s="1294"/>
      <c r="AO153" s="1294"/>
      <c r="AP153" s="1294"/>
      <c r="AQ153" s="1294"/>
      <c r="AR153" s="1294">
        <f t="shared" si="149"/>
        <v>0</v>
      </c>
      <c r="AS153" s="1136">
        <f>SUM(W154:W160)</f>
        <v>125000</v>
      </c>
      <c r="AT153" s="668">
        <f t="shared" si="150"/>
        <v>0</v>
      </c>
      <c r="AU153" s="463">
        <f>SUM(W154:W160)</f>
        <v>125000</v>
      </c>
      <c r="AV153" s="468">
        <f t="shared" si="144"/>
        <v>0</v>
      </c>
      <c r="AW153" s="468">
        <f t="shared" si="151"/>
        <v>125000</v>
      </c>
      <c r="AX153" s="463"/>
      <c r="AY153" s="463"/>
      <c r="AZ153" s="463"/>
      <c r="BA153" s="463"/>
      <c r="BB153" s="463"/>
      <c r="BC153" s="437">
        <f>'[2]PRIH REBALANS'!$AK$498</f>
        <v>168000</v>
      </c>
      <c r="BD153" s="437"/>
      <c r="BE153">
        <f t="shared" si="152"/>
        <v>74.404761904761912</v>
      </c>
      <c r="BF153" s="437">
        <f t="shared" si="153"/>
        <v>0</v>
      </c>
      <c r="BG153" s="209">
        <f>SUM(W154:W160)</f>
        <v>125000</v>
      </c>
    </row>
    <row r="154" spans="1:59" ht="39" customHeight="1">
      <c r="A154" s="1572"/>
      <c r="B154" s="1573"/>
      <c r="C154" s="1573"/>
      <c r="D154" s="1378">
        <v>111</v>
      </c>
      <c r="E154" s="1574"/>
      <c r="F154" s="1796">
        <v>613912</v>
      </c>
      <c r="G154" s="1837" t="s">
        <v>275</v>
      </c>
      <c r="H154" s="1608">
        <v>60000</v>
      </c>
      <c r="I154" s="1575"/>
      <c r="J154" s="1575"/>
      <c r="K154" s="1576">
        <f t="shared" ref="K154:K161" si="178">SUM(H154:J154)</f>
        <v>60000</v>
      </c>
      <c r="L154" s="1627">
        <v>60000</v>
      </c>
      <c r="M154" s="1301"/>
      <c r="N154" s="1302"/>
      <c r="O154" s="1476">
        <f t="shared" ref="O154:O160" si="179">SUM(L154:N154)</f>
        <v>60000</v>
      </c>
      <c r="P154" s="1627">
        <v>60000</v>
      </c>
      <c r="Q154" s="1301"/>
      <c r="R154" s="1302"/>
      <c r="S154" s="1476">
        <f t="shared" ref="S154:S160" si="180">SUM(P154:R154)</f>
        <v>60000</v>
      </c>
      <c r="T154" s="1627">
        <v>60000</v>
      </c>
      <c r="U154" s="1301"/>
      <c r="V154" s="1302"/>
      <c r="W154" s="1476">
        <f t="shared" ref="W154:W160" si="181">SUM(T154:V154)</f>
        <v>60000</v>
      </c>
      <c r="X154" s="1578">
        <f t="shared" si="162"/>
        <v>100</v>
      </c>
      <c r="Y154" s="2457"/>
      <c r="Z154" s="1136"/>
      <c r="AA154" s="1136"/>
      <c r="AB154" s="1293">
        <f t="shared" si="148"/>
        <v>0</v>
      </c>
      <c r="AC154" s="1293">
        <f t="shared" si="157"/>
        <v>0</v>
      </c>
      <c r="AD154" s="1293">
        <f t="shared" si="163"/>
        <v>0</v>
      </c>
      <c r="AE154" s="1293">
        <f t="shared" si="154"/>
        <v>0</v>
      </c>
      <c r="AF154" s="1294"/>
      <c r="AG154" s="1294"/>
      <c r="AH154" s="1294">
        <f t="shared" si="155"/>
        <v>0</v>
      </c>
      <c r="AI154" s="1294">
        <f t="shared" si="158"/>
        <v>0</v>
      </c>
      <c r="AJ154" s="1293">
        <f t="shared" si="164"/>
        <v>0</v>
      </c>
      <c r="AK154" s="1294"/>
      <c r="AL154" s="1294"/>
      <c r="AM154" s="1294"/>
      <c r="AN154" s="1294"/>
      <c r="AO154" s="1294"/>
      <c r="AP154" s="1294"/>
      <c r="AQ154" s="1294"/>
      <c r="AR154" s="1294">
        <f t="shared" si="149"/>
        <v>0</v>
      </c>
      <c r="AS154" s="1136"/>
      <c r="AT154" s="668">
        <f t="shared" si="150"/>
        <v>0</v>
      </c>
      <c r="AU154" s="463"/>
      <c r="AV154" s="468">
        <f t="shared" si="144"/>
        <v>0</v>
      </c>
      <c r="AW154" s="468">
        <f t="shared" si="151"/>
        <v>60000</v>
      </c>
      <c r="AX154" s="272"/>
      <c r="AY154" s="272"/>
      <c r="AZ154" s="272"/>
      <c r="BA154" s="272"/>
      <c r="BB154" s="272"/>
      <c r="BC154" s="437">
        <f t="shared" ref="BC154:BC161" si="182">T154+U154+V154+-W154</f>
        <v>0</v>
      </c>
      <c r="BD154" s="437"/>
      <c r="BE154">
        <f t="shared" si="152"/>
        <v>100</v>
      </c>
      <c r="BF154" s="437">
        <f t="shared" si="153"/>
        <v>0</v>
      </c>
    </row>
    <row r="155" spans="1:59" ht="39" customHeight="1">
      <c r="A155" s="1572"/>
      <c r="B155" s="1573"/>
      <c r="C155" s="1573"/>
      <c r="D155" s="1378">
        <v>111</v>
      </c>
      <c r="E155" s="1574"/>
      <c r="F155" s="1796">
        <v>613914</v>
      </c>
      <c r="G155" s="1837" t="s">
        <v>224</v>
      </c>
      <c r="H155" s="1608">
        <v>1200</v>
      </c>
      <c r="I155" s="1575"/>
      <c r="J155" s="1575"/>
      <c r="K155" s="1576">
        <f t="shared" si="178"/>
        <v>1200</v>
      </c>
      <c r="L155" s="1627">
        <v>2000</v>
      </c>
      <c r="M155" s="1301"/>
      <c r="N155" s="1302"/>
      <c r="O155" s="1476">
        <f t="shared" si="179"/>
        <v>2000</v>
      </c>
      <c r="P155" s="1627">
        <v>2000</v>
      </c>
      <c r="Q155" s="1301"/>
      <c r="R155" s="1302"/>
      <c r="S155" s="1476">
        <f t="shared" si="180"/>
        <v>2000</v>
      </c>
      <c r="T155" s="1627">
        <v>2000</v>
      </c>
      <c r="U155" s="1301"/>
      <c r="V155" s="1302"/>
      <c r="W155" s="1476">
        <f t="shared" si="181"/>
        <v>2000</v>
      </c>
      <c r="X155" s="1578">
        <f t="shared" si="162"/>
        <v>100</v>
      </c>
      <c r="Y155" s="2457"/>
      <c r="Z155" s="1136"/>
      <c r="AA155" s="1136"/>
      <c r="AB155" s="1293">
        <f t="shared" si="148"/>
        <v>0</v>
      </c>
      <c r="AC155" s="1293">
        <f t="shared" si="157"/>
        <v>0</v>
      </c>
      <c r="AD155" s="1293">
        <f t="shared" si="163"/>
        <v>0</v>
      </c>
      <c r="AE155" s="1293">
        <f t="shared" si="154"/>
        <v>0</v>
      </c>
      <c r="AF155" s="1294"/>
      <c r="AG155" s="1294"/>
      <c r="AH155" s="1294">
        <f t="shared" si="155"/>
        <v>0</v>
      </c>
      <c r="AI155" s="1294">
        <f t="shared" si="158"/>
        <v>0</v>
      </c>
      <c r="AJ155" s="1293">
        <f t="shared" si="164"/>
        <v>0</v>
      </c>
      <c r="AK155" s="1294"/>
      <c r="AL155" s="1294"/>
      <c r="AM155" s="1294"/>
      <c r="AN155" s="1294"/>
      <c r="AO155" s="1294"/>
      <c r="AP155" s="1294"/>
      <c r="AQ155" s="1294"/>
      <c r="AR155" s="1294">
        <f t="shared" si="149"/>
        <v>0</v>
      </c>
      <c r="AS155" s="1136"/>
      <c r="AT155" s="668">
        <f t="shared" si="150"/>
        <v>0</v>
      </c>
      <c r="AU155" s="463"/>
      <c r="AV155" s="468">
        <f t="shared" si="144"/>
        <v>0</v>
      </c>
      <c r="AW155" s="468">
        <f t="shared" si="151"/>
        <v>2000</v>
      </c>
      <c r="AX155" s="272"/>
      <c r="AY155" s="272"/>
      <c r="AZ155" s="272"/>
      <c r="BA155" s="272"/>
      <c r="BB155" s="272"/>
      <c r="BC155" s="437">
        <f t="shared" si="182"/>
        <v>0</v>
      </c>
      <c r="BD155" s="437"/>
      <c r="BE155">
        <f t="shared" si="152"/>
        <v>100</v>
      </c>
      <c r="BF155" s="437">
        <f t="shared" si="153"/>
        <v>0</v>
      </c>
    </row>
    <row r="156" spans="1:59" ht="39" customHeight="1">
      <c r="A156" s="1572"/>
      <c r="B156" s="1573"/>
      <c r="C156" s="1573"/>
      <c r="D156" s="1378">
        <v>111</v>
      </c>
      <c r="E156" s="1574"/>
      <c r="F156" s="1796">
        <v>613920</v>
      </c>
      <c r="G156" s="1837" t="s">
        <v>568</v>
      </c>
      <c r="H156" s="1608">
        <v>12000</v>
      </c>
      <c r="I156" s="1575"/>
      <c r="J156" s="1575"/>
      <c r="K156" s="1576">
        <f t="shared" si="178"/>
        <v>12000</v>
      </c>
      <c r="L156" s="1627">
        <v>11000</v>
      </c>
      <c r="M156" s="1301"/>
      <c r="N156" s="1302"/>
      <c r="O156" s="1476">
        <f t="shared" si="179"/>
        <v>11000</v>
      </c>
      <c r="P156" s="1627">
        <v>11000</v>
      </c>
      <c r="Q156" s="1301"/>
      <c r="R156" s="1302"/>
      <c r="S156" s="1476">
        <f t="shared" si="180"/>
        <v>11000</v>
      </c>
      <c r="T156" s="1627">
        <v>11000</v>
      </c>
      <c r="U156" s="1301"/>
      <c r="V156" s="1302"/>
      <c r="W156" s="1476">
        <f t="shared" si="181"/>
        <v>11000</v>
      </c>
      <c r="X156" s="1578">
        <f t="shared" si="162"/>
        <v>100</v>
      </c>
      <c r="Y156" s="2457"/>
      <c r="Z156" s="1136"/>
      <c r="AA156" s="1136"/>
      <c r="AB156" s="1293">
        <f t="shared" si="148"/>
        <v>0</v>
      </c>
      <c r="AC156" s="1293">
        <f t="shared" si="157"/>
        <v>0</v>
      </c>
      <c r="AD156" s="1293">
        <f t="shared" si="163"/>
        <v>0</v>
      </c>
      <c r="AE156" s="1293">
        <f t="shared" si="154"/>
        <v>0</v>
      </c>
      <c r="AF156" s="1294"/>
      <c r="AG156" s="1294"/>
      <c r="AH156" s="1294">
        <f t="shared" si="155"/>
        <v>0</v>
      </c>
      <c r="AI156" s="1294">
        <f t="shared" si="158"/>
        <v>0</v>
      </c>
      <c r="AJ156" s="1293">
        <f t="shared" si="164"/>
        <v>0</v>
      </c>
      <c r="AK156" s="1294"/>
      <c r="AL156" s="1294"/>
      <c r="AM156" s="1294"/>
      <c r="AN156" s="1294"/>
      <c r="AO156" s="1294"/>
      <c r="AP156" s="1294"/>
      <c r="AQ156" s="1294"/>
      <c r="AR156" s="1294">
        <f t="shared" si="149"/>
        <v>0</v>
      </c>
      <c r="AS156" s="1136"/>
      <c r="AT156" s="668">
        <f t="shared" si="150"/>
        <v>0</v>
      </c>
      <c r="AU156" s="463"/>
      <c r="AV156" s="468">
        <f t="shared" si="144"/>
        <v>0</v>
      </c>
      <c r="AW156" s="468">
        <f t="shared" si="151"/>
        <v>11000</v>
      </c>
      <c r="AX156" s="272"/>
      <c r="AY156" s="272"/>
      <c r="AZ156" s="272"/>
      <c r="BA156" s="272"/>
      <c r="BB156" s="272"/>
      <c r="BC156" s="437">
        <f t="shared" si="182"/>
        <v>0</v>
      </c>
      <c r="BD156" s="437"/>
      <c r="BE156">
        <f t="shared" si="152"/>
        <v>100</v>
      </c>
      <c r="BF156" s="437">
        <f t="shared" si="153"/>
        <v>0</v>
      </c>
    </row>
    <row r="157" spans="1:59" ht="39" customHeight="1">
      <c r="A157" s="1572"/>
      <c r="B157" s="1573"/>
      <c r="C157" s="1573"/>
      <c r="D157" s="1378">
        <v>111</v>
      </c>
      <c r="E157" s="1574"/>
      <c r="F157" s="1797">
        <v>613974</v>
      </c>
      <c r="G157" s="1837" t="s">
        <v>276</v>
      </c>
      <c r="H157" s="1608">
        <v>8000</v>
      </c>
      <c r="I157" s="1575"/>
      <c r="J157" s="1575"/>
      <c r="K157" s="1576">
        <f t="shared" si="178"/>
        <v>8000</v>
      </c>
      <c r="L157" s="1627">
        <v>8000</v>
      </c>
      <c r="M157" s="1301"/>
      <c r="N157" s="1302"/>
      <c r="O157" s="1476">
        <f t="shared" si="179"/>
        <v>8000</v>
      </c>
      <c r="P157" s="1627">
        <v>20000</v>
      </c>
      <c r="Q157" s="1301"/>
      <c r="R157" s="1302"/>
      <c r="S157" s="1476">
        <f t="shared" si="180"/>
        <v>20000</v>
      </c>
      <c r="T157" s="1627">
        <v>20000</v>
      </c>
      <c r="U157" s="1301"/>
      <c r="V157" s="1302"/>
      <c r="W157" s="1476">
        <f t="shared" si="181"/>
        <v>20000</v>
      </c>
      <c r="X157" s="1578">
        <f t="shared" si="162"/>
        <v>250</v>
      </c>
      <c r="Y157" s="2457"/>
      <c r="Z157" s="1136"/>
      <c r="AA157" s="1136"/>
      <c r="AB157" s="1293">
        <f t="shared" si="148"/>
        <v>0</v>
      </c>
      <c r="AC157" s="1293">
        <f t="shared" si="157"/>
        <v>0</v>
      </c>
      <c r="AD157" s="1293">
        <f t="shared" si="163"/>
        <v>12000</v>
      </c>
      <c r="AE157" s="1293">
        <f t="shared" si="154"/>
        <v>0</v>
      </c>
      <c r="AF157" s="1294"/>
      <c r="AG157" s="1294"/>
      <c r="AH157" s="1294">
        <f t="shared" si="155"/>
        <v>12000</v>
      </c>
      <c r="AI157" s="1294">
        <f t="shared" si="158"/>
        <v>0</v>
      </c>
      <c r="AJ157" s="1293">
        <f t="shared" si="164"/>
        <v>0</v>
      </c>
      <c r="AK157" s="1294"/>
      <c r="AL157" s="1294"/>
      <c r="AM157" s="1294"/>
      <c r="AN157" s="1294"/>
      <c r="AO157" s="1294"/>
      <c r="AP157" s="1294"/>
      <c r="AQ157" s="1294"/>
      <c r="AR157" s="1294">
        <f t="shared" si="149"/>
        <v>0</v>
      </c>
      <c r="AS157" s="1136"/>
      <c r="AT157" s="668">
        <f t="shared" si="150"/>
        <v>0</v>
      </c>
      <c r="AU157" s="463"/>
      <c r="AV157" s="468">
        <f t="shared" si="144"/>
        <v>0</v>
      </c>
      <c r="AW157" s="468">
        <f t="shared" si="151"/>
        <v>20000</v>
      </c>
      <c r="AX157" s="272"/>
      <c r="AY157" s="272"/>
      <c r="AZ157" s="272"/>
      <c r="BA157" s="272"/>
      <c r="BB157" s="272"/>
      <c r="BC157" s="437">
        <f t="shared" si="182"/>
        <v>0</v>
      </c>
      <c r="BD157" s="437"/>
      <c r="BE157">
        <f t="shared" si="152"/>
        <v>250</v>
      </c>
      <c r="BF157" s="437">
        <f t="shared" si="153"/>
        <v>0</v>
      </c>
    </row>
    <row r="158" spans="1:59" ht="39" customHeight="1">
      <c r="A158" s="1572"/>
      <c r="B158" s="1573"/>
      <c r="C158" s="1573"/>
      <c r="D158" s="1378">
        <v>111</v>
      </c>
      <c r="E158" s="1373"/>
      <c r="F158" s="1796">
        <v>613983</v>
      </c>
      <c r="G158" s="1838" t="s">
        <v>225</v>
      </c>
      <c r="H158" s="1608">
        <v>17000</v>
      </c>
      <c r="I158" s="1575"/>
      <c r="J158" s="1575"/>
      <c r="K158" s="1576">
        <f t="shared" si="178"/>
        <v>17000</v>
      </c>
      <c r="L158" s="1627">
        <v>17000</v>
      </c>
      <c r="M158" s="1301"/>
      <c r="N158" s="1302"/>
      <c r="O158" s="1476">
        <f t="shared" si="179"/>
        <v>17000</v>
      </c>
      <c r="P158" s="1627">
        <v>17000</v>
      </c>
      <c r="Q158" s="1301"/>
      <c r="R158" s="1302"/>
      <c r="S158" s="1476">
        <f t="shared" si="180"/>
        <v>17000</v>
      </c>
      <c r="T158" s="1627">
        <v>17000</v>
      </c>
      <c r="U158" s="1301"/>
      <c r="V158" s="1302"/>
      <c r="W158" s="1476">
        <f t="shared" si="181"/>
        <v>17000</v>
      </c>
      <c r="X158" s="1578">
        <f t="shared" si="162"/>
        <v>100</v>
      </c>
      <c r="Y158" s="2457"/>
      <c r="Z158" s="1136"/>
      <c r="AA158" s="1136"/>
      <c r="AB158" s="1293">
        <f t="shared" si="148"/>
        <v>0</v>
      </c>
      <c r="AC158" s="1293">
        <f t="shared" si="157"/>
        <v>0</v>
      </c>
      <c r="AD158" s="1293">
        <f t="shared" si="163"/>
        <v>0</v>
      </c>
      <c r="AE158" s="1293">
        <f t="shared" si="154"/>
        <v>0</v>
      </c>
      <c r="AF158" s="1294"/>
      <c r="AG158" s="1294"/>
      <c r="AH158" s="1294">
        <f t="shared" si="155"/>
        <v>0</v>
      </c>
      <c r="AI158" s="1294">
        <f t="shared" si="158"/>
        <v>0</v>
      </c>
      <c r="AJ158" s="1293">
        <f t="shared" si="164"/>
        <v>0</v>
      </c>
      <c r="AK158" s="1294"/>
      <c r="AL158" s="1294"/>
      <c r="AM158" s="1294"/>
      <c r="AN158" s="1294"/>
      <c r="AO158" s="1294"/>
      <c r="AP158" s="1294"/>
      <c r="AQ158" s="1294"/>
      <c r="AR158" s="1294">
        <f t="shared" si="149"/>
        <v>0</v>
      </c>
      <c r="AS158" s="1136"/>
      <c r="AT158" s="668">
        <f t="shared" si="150"/>
        <v>0</v>
      </c>
      <c r="AU158" s="463"/>
      <c r="AV158" s="468">
        <f t="shared" si="144"/>
        <v>0</v>
      </c>
      <c r="AW158" s="468">
        <f t="shared" si="151"/>
        <v>17000</v>
      </c>
      <c r="AX158" s="272"/>
      <c r="AY158" s="272"/>
      <c r="AZ158" s="272"/>
      <c r="BA158" s="272"/>
      <c r="BB158" s="272"/>
      <c r="BC158" s="437">
        <f t="shared" si="182"/>
        <v>0</v>
      </c>
      <c r="BD158" s="437"/>
      <c r="BE158">
        <f t="shared" si="152"/>
        <v>100</v>
      </c>
      <c r="BF158" s="437">
        <f t="shared" si="153"/>
        <v>0</v>
      </c>
    </row>
    <row r="159" spans="1:59" ht="39" customHeight="1">
      <c r="A159" s="1572"/>
      <c r="B159" s="1573"/>
      <c r="C159" s="1573"/>
      <c r="D159" s="1378">
        <v>111</v>
      </c>
      <c r="E159" s="1574"/>
      <c r="F159" s="1796" t="s">
        <v>277</v>
      </c>
      <c r="G159" s="1837" t="s">
        <v>278</v>
      </c>
      <c r="H159" s="1608">
        <v>15000</v>
      </c>
      <c r="I159" s="1575"/>
      <c r="J159" s="1575"/>
      <c r="K159" s="1576">
        <f t="shared" si="178"/>
        <v>15000</v>
      </c>
      <c r="L159" s="1643">
        <v>10000</v>
      </c>
      <c r="M159" s="1301"/>
      <c r="N159" s="1302"/>
      <c r="O159" s="1476">
        <f t="shared" si="179"/>
        <v>10000</v>
      </c>
      <c r="P159" s="1643">
        <v>10000</v>
      </c>
      <c r="Q159" s="1301"/>
      <c r="R159" s="1302"/>
      <c r="S159" s="1476">
        <f t="shared" si="180"/>
        <v>10000</v>
      </c>
      <c r="T159" s="1643">
        <v>10000</v>
      </c>
      <c r="U159" s="1301"/>
      <c r="V159" s="1302"/>
      <c r="W159" s="1476">
        <f t="shared" si="181"/>
        <v>10000</v>
      </c>
      <c r="X159" s="1578">
        <f t="shared" si="162"/>
        <v>100</v>
      </c>
      <c r="Y159" s="2457"/>
      <c r="Z159" s="1136"/>
      <c r="AA159" s="1136"/>
      <c r="AB159" s="1293">
        <f t="shared" si="148"/>
        <v>0</v>
      </c>
      <c r="AC159" s="1293">
        <f t="shared" si="157"/>
        <v>0</v>
      </c>
      <c r="AD159" s="1293">
        <f t="shared" si="163"/>
        <v>0</v>
      </c>
      <c r="AE159" s="1293">
        <f t="shared" si="154"/>
        <v>0</v>
      </c>
      <c r="AF159" s="1294"/>
      <c r="AG159" s="1294"/>
      <c r="AH159" s="1294">
        <f t="shared" si="155"/>
        <v>0</v>
      </c>
      <c r="AI159" s="1294">
        <f t="shared" si="158"/>
        <v>0</v>
      </c>
      <c r="AJ159" s="1293">
        <f t="shared" si="164"/>
        <v>0</v>
      </c>
      <c r="AK159" s="1294"/>
      <c r="AL159" s="1294"/>
      <c r="AM159" s="1294"/>
      <c r="AN159" s="1294"/>
      <c r="AO159" s="1294"/>
      <c r="AP159" s="1294"/>
      <c r="AQ159" s="1294"/>
      <c r="AR159" s="1294">
        <f t="shared" si="149"/>
        <v>0</v>
      </c>
      <c r="AS159" s="1136"/>
      <c r="AT159" s="668">
        <f t="shared" si="150"/>
        <v>0</v>
      </c>
      <c r="AU159" s="463"/>
      <c r="AV159" s="468">
        <f t="shared" si="144"/>
        <v>0</v>
      </c>
      <c r="AW159" s="468">
        <f t="shared" si="151"/>
        <v>10000</v>
      </c>
      <c r="AX159" s="272"/>
      <c r="AY159" s="272"/>
      <c r="AZ159" s="272"/>
      <c r="BA159" s="272"/>
      <c r="BB159" s="272"/>
      <c r="BC159" s="437">
        <f t="shared" si="182"/>
        <v>0</v>
      </c>
      <c r="BD159" s="437"/>
      <c r="BE159">
        <f t="shared" si="152"/>
        <v>100</v>
      </c>
      <c r="BF159" s="437">
        <f t="shared" si="153"/>
        <v>0</v>
      </c>
    </row>
    <row r="160" spans="1:59" ht="39" customHeight="1">
      <c r="A160" s="1572"/>
      <c r="B160" s="1573"/>
      <c r="C160" s="1573"/>
      <c r="D160" s="1378">
        <v>111</v>
      </c>
      <c r="E160" s="1574"/>
      <c r="F160" s="1796">
        <v>613990</v>
      </c>
      <c r="G160" s="1837" t="s">
        <v>279</v>
      </c>
      <c r="H160" s="1608"/>
      <c r="I160" s="1575"/>
      <c r="J160" s="1575"/>
      <c r="K160" s="1576">
        <f t="shared" si="178"/>
        <v>0</v>
      </c>
      <c r="L160" s="1627">
        <v>60000</v>
      </c>
      <c r="M160" s="1301"/>
      <c r="N160" s="1302"/>
      <c r="O160" s="1476">
        <f t="shared" si="179"/>
        <v>60000</v>
      </c>
      <c r="P160" s="1627">
        <v>5000</v>
      </c>
      <c r="Q160" s="1301"/>
      <c r="R160" s="1302"/>
      <c r="S160" s="1476">
        <f t="shared" si="180"/>
        <v>5000</v>
      </c>
      <c r="T160" s="1627">
        <v>5000</v>
      </c>
      <c r="U160" s="1301"/>
      <c r="V160" s="1302"/>
      <c r="W160" s="1476">
        <f t="shared" si="181"/>
        <v>5000</v>
      </c>
      <c r="X160" s="1578">
        <f t="shared" si="162"/>
        <v>8.3333333333333321</v>
      </c>
      <c r="Y160" s="2457"/>
      <c r="Z160" s="1136"/>
      <c r="AA160" s="1136"/>
      <c r="AB160" s="1293">
        <f t="shared" si="148"/>
        <v>0</v>
      </c>
      <c r="AC160" s="1293">
        <f t="shared" si="157"/>
        <v>0</v>
      </c>
      <c r="AD160" s="1293">
        <f t="shared" si="163"/>
        <v>-55000</v>
      </c>
      <c r="AE160" s="1293">
        <f t="shared" si="154"/>
        <v>0</v>
      </c>
      <c r="AF160" s="1294"/>
      <c r="AG160" s="1294"/>
      <c r="AH160" s="1294">
        <f t="shared" si="155"/>
        <v>-55000</v>
      </c>
      <c r="AI160" s="1294">
        <f t="shared" si="158"/>
        <v>0</v>
      </c>
      <c r="AJ160" s="1293">
        <f t="shared" si="164"/>
        <v>0</v>
      </c>
      <c r="AK160" s="1294"/>
      <c r="AL160" s="1294"/>
      <c r="AM160" s="1294"/>
      <c r="AN160" s="1294"/>
      <c r="AO160" s="1294"/>
      <c r="AP160" s="1294"/>
      <c r="AQ160" s="1294"/>
      <c r="AR160" s="1294">
        <f t="shared" si="149"/>
        <v>0</v>
      </c>
      <c r="AS160" s="1136"/>
      <c r="AT160" s="668">
        <f t="shared" si="150"/>
        <v>0</v>
      </c>
      <c r="AU160" s="463"/>
      <c r="AV160" s="468">
        <f t="shared" si="144"/>
        <v>0</v>
      </c>
      <c r="AW160" s="468">
        <f t="shared" si="151"/>
        <v>5000</v>
      </c>
      <c r="AX160" s="272"/>
      <c r="AY160" s="272"/>
      <c r="AZ160" s="272"/>
      <c r="BA160" s="272"/>
      <c r="BB160" s="272"/>
      <c r="BC160" s="437">
        <f t="shared" si="182"/>
        <v>0</v>
      </c>
      <c r="BD160" s="437"/>
      <c r="BE160">
        <f t="shared" si="152"/>
        <v>8.3333333333333321</v>
      </c>
      <c r="BF160" s="437">
        <f t="shared" si="153"/>
        <v>0</v>
      </c>
    </row>
    <row r="161" spans="1:60" ht="39" customHeight="1">
      <c r="A161" s="1572"/>
      <c r="B161" s="1573"/>
      <c r="C161" s="1573"/>
      <c r="D161" s="1378">
        <v>111</v>
      </c>
      <c r="E161" s="1378" t="s">
        <v>206</v>
      </c>
      <c r="F161" s="1795" t="s">
        <v>280</v>
      </c>
      <c r="G161" s="1840" t="s">
        <v>281</v>
      </c>
      <c r="H161" s="1633">
        <v>9000</v>
      </c>
      <c r="I161" s="1575"/>
      <c r="J161" s="1575"/>
      <c r="K161" s="1630">
        <f t="shared" si="178"/>
        <v>9000</v>
      </c>
      <c r="L161" s="1632">
        <v>9000</v>
      </c>
      <c r="M161" s="1301"/>
      <c r="N161" s="1302"/>
      <c r="O161" s="1474">
        <v>9000</v>
      </c>
      <c r="P161" s="1632">
        <v>10000</v>
      </c>
      <c r="Q161" s="1301"/>
      <c r="R161" s="1302"/>
      <c r="S161" s="1474">
        <v>10000</v>
      </c>
      <c r="T161" s="1632">
        <v>10000</v>
      </c>
      <c r="U161" s="1301"/>
      <c r="V161" s="1302"/>
      <c r="W161" s="1317">
        <v>10000</v>
      </c>
      <c r="X161" s="1578">
        <f t="shared" si="162"/>
        <v>111.11111111111111</v>
      </c>
      <c r="Y161" s="2457"/>
      <c r="Z161" s="1136"/>
      <c r="AA161" s="1136"/>
      <c r="AB161" s="1293">
        <f t="shared" si="148"/>
        <v>0</v>
      </c>
      <c r="AC161" s="1293">
        <f t="shared" si="157"/>
        <v>0</v>
      </c>
      <c r="AD161" s="1293">
        <f t="shared" si="163"/>
        <v>1000</v>
      </c>
      <c r="AE161" s="1293">
        <f t="shared" si="154"/>
        <v>0</v>
      </c>
      <c r="AF161" s="1294"/>
      <c r="AG161" s="1294"/>
      <c r="AH161" s="1294">
        <f t="shared" si="155"/>
        <v>1000</v>
      </c>
      <c r="AI161" s="1294">
        <f t="shared" si="158"/>
        <v>0</v>
      </c>
      <c r="AJ161" s="1293">
        <f t="shared" si="164"/>
        <v>0</v>
      </c>
      <c r="AK161" s="1294"/>
      <c r="AL161" s="1294"/>
      <c r="AM161" s="1294"/>
      <c r="AN161" s="1294"/>
      <c r="AO161" s="1294"/>
      <c r="AP161" s="1294"/>
      <c r="AQ161" s="1294"/>
      <c r="AR161" s="1294">
        <f t="shared" si="149"/>
        <v>0</v>
      </c>
      <c r="AS161" s="1136"/>
      <c r="AT161" s="668">
        <f t="shared" si="150"/>
        <v>0</v>
      </c>
      <c r="AU161" s="463"/>
      <c r="AV161" s="468">
        <f t="shared" si="144"/>
        <v>0</v>
      </c>
      <c r="AW161" s="468">
        <f t="shared" si="151"/>
        <v>10000</v>
      </c>
      <c r="AX161" s="463"/>
      <c r="AY161" s="463"/>
      <c r="AZ161" s="463"/>
      <c r="BA161" s="463"/>
      <c r="BB161" s="463"/>
      <c r="BC161" s="437">
        <f t="shared" si="182"/>
        <v>0</v>
      </c>
      <c r="BD161" s="437"/>
      <c r="BE161">
        <f t="shared" si="152"/>
        <v>111.11111111111111</v>
      </c>
      <c r="BF161" s="437">
        <f t="shared" si="153"/>
        <v>0</v>
      </c>
    </row>
    <row r="162" spans="1:60" ht="39" customHeight="1">
      <c r="A162" s="1572"/>
      <c r="B162" s="1573"/>
      <c r="C162" s="1573"/>
      <c r="D162" s="1378">
        <v>111</v>
      </c>
      <c r="E162" s="1378" t="s">
        <v>206</v>
      </c>
      <c r="F162" s="1795">
        <v>821000</v>
      </c>
      <c r="G162" s="1840" t="s">
        <v>236</v>
      </c>
      <c r="H162" s="1380">
        <f>SUM(H163:H166)</f>
        <v>207000</v>
      </c>
      <c r="I162" s="1380">
        <f>SUM(I165:I166)</f>
        <v>0</v>
      </c>
      <c r="J162" s="1380">
        <f>SUM(J165:J166)</f>
        <v>0</v>
      </c>
      <c r="K162" s="1642">
        <f>SUM(K163:K166)</f>
        <v>207000</v>
      </c>
      <c r="L162" s="1601">
        <f>SUM(L163:L168)</f>
        <v>170000</v>
      </c>
      <c r="M162" s="1303">
        <f t="shared" ref="M162:N162" si="183">SUM(M163:M168)</f>
        <v>224591</v>
      </c>
      <c r="N162" s="1304">
        <f t="shared" si="183"/>
        <v>125000</v>
      </c>
      <c r="O162" s="1477">
        <f>SUM(O163:O168)</f>
        <v>519591</v>
      </c>
      <c r="P162" s="1601">
        <f>SUM(P163:P169)</f>
        <v>100000</v>
      </c>
      <c r="Q162" s="1303"/>
      <c r="R162" s="1304"/>
      <c r="S162" s="1477">
        <f>SUM(S163:S169)</f>
        <v>100000</v>
      </c>
      <c r="T162" s="1601">
        <f>SUM(T163:T168)</f>
        <v>250000</v>
      </c>
      <c r="U162" s="1303"/>
      <c r="V162" s="1304"/>
      <c r="W162" s="1327">
        <f>SUM(W163:W168)</f>
        <v>250000</v>
      </c>
      <c r="X162" s="1578">
        <f t="shared" si="162"/>
        <v>48.114767191887466</v>
      </c>
      <c r="Y162" s="2457">
        <f>'[1]PRIH REBALANS'!$AK$489</f>
        <v>250000</v>
      </c>
      <c r="Z162" s="1136"/>
      <c r="AA162" s="1136">
        <f>'[9]PRIH REBALANS'!$AK$489</f>
        <v>250000</v>
      </c>
      <c r="AB162" s="1293">
        <f t="shared" si="148"/>
        <v>0</v>
      </c>
      <c r="AC162" s="1293">
        <f t="shared" si="157"/>
        <v>0</v>
      </c>
      <c r="AD162" s="1293">
        <f t="shared" si="163"/>
        <v>-269591</v>
      </c>
      <c r="AE162" s="1293">
        <f t="shared" si="154"/>
        <v>0</v>
      </c>
      <c r="AF162" s="1294"/>
      <c r="AG162" s="1294"/>
      <c r="AH162" s="1294">
        <f t="shared" si="155"/>
        <v>80000</v>
      </c>
      <c r="AI162" s="1294">
        <f t="shared" si="158"/>
        <v>0</v>
      </c>
      <c r="AJ162" s="1293">
        <f t="shared" si="164"/>
        <v>0</v>
      </c>
      <c r="AK162" s="1294"/>
      <c r="AL162" s="1294"/>
      <c r="AM162" s="1294"/>
      <c r="AN162" s="1294"/>
      <c r="AO162" s="1294"/>
      <c r="AP162" s="1294"/>
      <c r="AQ162" s="1294"/>
      <c r="AR162" s="1294">
        <f t="shared" si="149"/>
        <v>0</v>
      </c>
      <c r="AS162" s="1136">
        <f>SUM(W163:W168)</f>
        <v>250000</v>
      </c>
      <c r="AT162" s="668">
        <f t="shared" si="150"/>
        <v>0</v>
      </c>
      <c r="AU162" s="463">
        <f>SUM(W163:W168)</f>
        <v>250000</v>
      </c>
      <c r="AV162" s="468">
        <f t="shared" si="144"/>
        <v>0</v>
      </c>
      <c r="AW162" s="468">
        <f t="shared" si="151"/>
        <v>250000</v>
      </c>
      <c r="AX162" s="463"/>
      <c r="AY162" s="463"/>
      <c r="AZ162" s="463"/>
      <c r="BA162" s="463"/>
      <c r="BB162" s="463"/>
      <c r="BC162" s="437">
        <f>'[2]PRIH REBALANS'!$AK$508</f>
        <v>519591</v>
      </c>
      <c r="BD162" s="437"/>
      <c r="BE162">
        <f t="shared" si="152"/>
        <v>48.114767191887466</v>
      </c>
      <c r="BF162" s="437">
        <f t="shared" si="153"/>
        <v>0</v>
      </c>
      <c r="BH162" s="209">
        <f>SUM(W163:W168)</f>
        <v>250000</v>
      </c>
    </row>
    <row r="163" spans="1:60" ht="39" customHeight="1">
      <c r="A163" s="1572"/>
      <c r="B163" s="1573"/>
      <c r="C163" s="1573"/>
      <c r="D163" s="1574" t="s">
        <v>337</v>
      </c>
      <c r="E163" s="1574"/>
      <c r="F163" s="1796"/>
      <c r="G163" s="1837" t="s">
        <v>1611</v>
      </c>
      <c r="H163" s="1575">
        <v>20000</v>
      </c>
      <c r="I163" s="1575"/>
      <c r="J163" s="1575"/>
      <c r="K163" s="1576">
        <f>SUM(H163:J163)</f>
        <v>20000</v>
      </c>
      <c r="L163" s="1577"/>
      <c r="M163" s="1301"/>
      <c r="N163" s="1302">
        <v>125000</v>
      </c>
      <c r="O163" s="1476">
        <f t="shared" ref="O163:O168" si="184">SUM(L163:N163)</f>
        <v>125000</v>
      </c>
      <c r="P163" s="1577">
        <v>50000</v>
      </c>
      <c r="Q163" s="1301"/>
      <c r="R163" s="1302"/>
      <c r="S163" s="1476">
        <f t="shared" ref="S163:S168" si="185">SUM(P163:R163)</f>
        <v>50000</v>
      </c>
      <c r="T163" s="1577"/>
      <c r="U163" s="1301"/>
      <c r="V163" s="1302"/>
      <c r="W163" s="1476">
        <f>SUM(T163:V163)</f>
        <v>0</v>
      </c>
      <c r="X163" s="1578">
        <f t="shared" si="162"/>
        <v>0</v>
      </c>
      <c r="Y163" s="2457"/>
      <c r="Z163" s="1136"/>
      <c r="AA163" s="1136"/>
      <c r="AB163" s="1293">
        <f t="shared" si="148"/>
        <v>0</v>
      </c>
      <c r="AC163" s="1293">
        <f t="shared" si="157"/>
        <v>0</v>
      </c>
      <c r="AD163" s="1293">
        <f t="shared" si="163"/>
        <v>-125000</v>
      </c>
      <c r="AE163" s="1293">
        <f t="shared" si="154"/>
        <v>0</v>
      </c>
      <c r="AF163" s="1294"/>
      <c r="AG163" s="1294"/>
      <c r="AH163" s="1294">
        <f t="shared" si="155"/>
        <v>0</v>
      </c>
      <c r="AI163" s="1294">
        <f t="shared" si="158"/>
        <v>0</v>
      </c>
      <c r="AJ163" s="1293">
        <f t="shared" si="164"/>
        <v>0</v>
      </c>
      <c r="AK163" s="1294"/>
      <c r="AL163" s="1294"/>
      <c r="AM163" s="1294"/>
      <c r="AN163" s="1294"/>
      <c r="AO163" s="1294"/>
      <c r="AP163" s="1294"/>
      <c r="AQ163" s="1294"/>
      <c r="AR163" s="1294">
        <f t="shared" si="149"/>
        <v>0</v>
      </c>
      <c r="AS163" s="1136"/>
      <c r="AT163" s="668">
        <f t="shared" si="150"/>
        <v>0</v>
      </c>
      <c r="AU163" s="463"/>
      <c r="AV163" s="468">
        <f t="shared" si="144"/>
        <v>0</v>
      </c>
      <c r="AW163" s="468">
        <f t="shared" si="151"/>
        <v>0</v>
      </c>
      <c r="AX163" s="463"/>
      <c r="AY163" s="463"/>
      <c r="AZ163" s="463"/>
      <c r="BA163" s="463"/>
      <c r="BB163" s="463"/>
      <c r="BC163" s="437">
        <f>T163+U163+V163+-W163</f>
        <v>0</v>
      </c>
      <c r="BD163" s="437"/>
      <c r="BE163">
        <f t="shared" si="152"/>
        <v>0</v>
      </c>
      <c r="BF163" s="437">
        <f t="shared" si="153"/>
        <v>0</v>
      </c>
    </row>
    <row r="164" spans="1:60" ht="39" customHeight="1">
      <c r="A164" s="1572"/>
      <c r="B164" s="1573"/>
      <c r="C164" s="1573"/>
      <c r="D164" s="1574"/>
      <c r="E164" s="1574"/>
      <c r="F164" s="1796"/>
      <c r="G164" s="1837" t="s">
        <v>1677</v>
      </c>
      <c r="H164" s="1575"/>
      <c r="I164" s="1575"/>
      <c r="J164" s="1575"/>
      <c r="K164" s="1576"/>
      <c r="L164" s="1577"/>
      <c r="M164" s="1301"/>
      <c r="N164" s="1302"/>
      <c r="O164" s="1476"/>
      <c r="P164" s="1577"/>
      <c r="Q164" s="1301"/>
      <c r="R164" s="1302"/>
      <c r="S164" s="1476"/>
      <c r="T164" s="1577">
        <v>150000</v>
      </c>
      <c r="U164" s="1301"/>
      <c r="V164" s="1302"/>
      <c r="W164" s="1476">
        <f t="shared" ref="W164:W168" si="186">SUM(T164:V164)</f>
        <v>150000</v>
      </c>
      <c r="X164" s="1578"/>
      <c r="Y164" s="2457"/>
      <c r="Z164" s="1136"/>
      <c r="AA164" s="1136"/>
      <c r="AB164" s="1293">
        <f t="shared" si="148"/>
        <v>0</v>
      </c>
      <c r="AC164" s="1293">
        <f t="shared" si="157"/>
        <v>0</v>
      </c>
      <c r="AD164" s="1293"/>
      <c r="AE164" s="1293">
        <f t="shared" si="154"/>
        <v>0</v>
      </c>
      <c r="AF164" s="1294"/>
      <c r="AG164" s="1294"/>
      <c r="AH164" s="1294"/>
      <c r="AI164" s="1294"/>
      <c r="AJ164" s="1293"/>
      <c r="AK164" s="1294"/>
      <c r="AL164" s="1294"/>
      <c r="AM164" s="1294"/>
      <c r="AN164" s="1294"/>
      <c r="AO164" s="1294"/>
      <c r="AP164" s="1294"/>
      <c r="AQ164" s="1294"/>
      <c r="AR164" s="1294"/>
      <c r="AS164" s="1136"/>
      <c r="AT164" s="668"/>
      <c r="AU164" s="463"/>
      <c r="AV164" s="468"/>
      <c r="AW164" s="468"/>
      <c r="AX164" s="463"/>
      <c r="AY164" s="463"/>
      <c r="AZ164" s="463"/>
      <c r="BA164" s="463"/>
      <c r="BB164" s="463"/>
      <c r="BC164" s="437"/>
      <c r="BD164" s="437"/>
      <c r="BF164" s="437"/>
    </row>
    <row r="165" spans="1:60" ht="39" customHeight="1">
      <c r="A165" s="1572"/>
      <c r="B165" s="1573"/>
      <c r="C165" s="1573"/>
      <c r="D165" s="1378" t="s">
        <v>319</v>
      </c>
      <c r="E165" s="1378"/>
      <c r="F165" s="1796" t="s">
        <v>264</v>
      </c>
      <c r="G165" s="1837" t="s">
        <v>265</v>
      </c>
      <c r="H165" s="1575">
        <v>50000</v>
      </c>
      <c r="I165" s="1575"/>
      <c r="J165" s="1575"/>
      <c r="K165" s="1576">
        <f>SUM(H165:J165)</f>
        <v>50000</v>
      </c>
      <c r="L165" s="1577">
        <v>70000</v>
      </c>
      <c r="M165" s="1301"/>
      <c r="N165" s="1302"/>
      <c r="O165" s="1476">
        <f t="shared" si="184"/>
        <v>70000</v>
      </c>
      <c r="P165" s="1577"/>
      <c r="Q165" s="1301"/>
      <c r="R165" s="1302"/>
      <c r="S165" s="1476">
        <f t="shared" si="185"/>
        <v>0</v>
      </c>
      <c r="T165" s="1577"/>
      <c r="U165" s="1301"/>
      <c r="V165" s="1302"/>
      <c r="W165" s="1476">
        <f t="shared" si="186"/>
        <v>0</v>
      </c>
      <c r="X165" s="1578">
        <f t="shared" si="162"/>
        <v>0</v>
      </c>
      <c r="Y165" s="2457"/>
      <c r="Z165" s="1136"/>
      <c r="AA165" s="1136"/>
      <c r="AB165" s="1293">
        <f t="shared" si="148"/>
        <v>0</v>
      </c>
      <c r="AC165" s="1293">
        <f t="shared" si="157"/>
        <v>0</v>
      </c>
      <c r="AD165" s="1293">
        <f t="shared" si="163"/>
        <v>-70000</v>
      </c>
      <c r="AE165" s="1293">
        <f t="shared" si="154"/>
        <v>0</v>
      </c>
      <c r="AF165" s="1294"/>
      <c r="AG165" s="1294"/>
      <c r="AH165" s="1294">
        <f t="shared" si="155"/>
        <v>-70000</v>
      </c>
      <c r="AI165" s="1294">
        <f t="shared" si="158"/>
        <v>0</v>
      </c>
      <c r="AJ165" s="1293">
        <f t="shared" si="164"/>
        <v>0</v>
      </c>
      <c r="AK165" s="1294"/>
      <c r="AL165" s="1294"/>
      <c r="AM165" s="1294"/>
      <c r="AN165" s="1294"/>
      <c r="AO165" s="1294"/>
      <c r="AP165" s="1294"/>
      <c r="AQ165" s="1294"/>
      <c r="AR165" s="1294">
        <f t="shared" ref="AR165:AR172" si="187">T165+U165+V165-W165</f>
        <v>0</v>
      </c>
      <c r="AS165" s="1136"/>
      <c r="AT165" s="668">
        <f t="shared" ref="AT165:AT172" si="188">T165+U165+V165-W165</f>
        <v>0</v>
      </c>
      <c r="AU165" s="463"/>
      <c r="AV165" s="468">
        <f t="shared" si="144"/>
        <v>0</v>
      </c>
      <c r="AW165" s="468">
        <f t="shared" ref="AW165:AW172" si="189">W165-AV165</f>
        <v>0</v>
      </c>
      <c r="AX165" s="272"/>
      <c r="AY165" s="272"/>
      <c r="AZ165" s="272"/>
      <c r="BA165" s="272"/>
      <c r="BB165" s="272"/>
      <c r="BC165" s="437">
        <f>T165+U165+V165+-W165</f>
        <v>0</v>
      </c>
      <c r="BD165" s="437"/>
      <c r="BE165">
        <f t="shared" si="152"/>
        <v>0</v>
      </c>
      <c r="BF165" s="437">
        <f t="shared" ref="BF165:BF169" si="190">BE165-X165</f>
        <v>0</v>
      </c>
    </row>
    <row r="166" spans="1:60" ht="39" hidden="1" customHeight="1">
      <c r="A166" s="1572"/>
      <c r="B166" s="1573"/>
      <c r="C166" s="1573"/>
      <c r="D166" s="1378" t="s">
        <v>319</v>
      </c>
      <c r="E166" s="1574"/>
      <c r="F166" s="1797" t="s">
        <v>282</v>
      </c>
      <c r="G166" s="1837" t="s">
        <v>283</v>
      </c>
      <c r="H166" s="1575">
        <v>137000</v>
      </c>
      <c r="I166" s="1575"/>
      <c r="J166" s="1575"/>
      <c r="K166" s="1576">
        <f>SUM(H166:J166)</f>
        <v>137000</v>
      </c>
      <c r="L166" s="1577"/>
      <c r="M166" s="1301"/>
      <c r="N166" s="1302"/>
      <c r="O166" s="1476">
        <f t="shared" si="184"/>
        <v>0</v>
      </c>
      <c r="P166" s="1577"/>
      <c r="Q166" s="1301"/>
      <c r="R166" s="1302"/>
      <c r="S166" s="1476">
        <f t="shared" si="185"/>
        <v>0</v>
      </c>
      <c r="T166" s="1577"/>
      <c r="U166" s="1301"/>
      <c r="V166" s="1302"/>
      <c r="W166" s="1476">
        <f t="shared" si="186"/>
        <v>0</v>
      </c>
      <c r="X166" s="1578" t="e">
        <f t="shared" si="162"/>
        <v>#DIV/0!</v>
      </c>
      <c r="Y166" s="2457"/>
      <c r="Z166" s="1136"/>
      <c r="AA166" s="1136"/>
      <c r="AB166" s="1293">
        <f t="shared" si="148"/>
        <v>0</v>
      </c>
      <c r="AC166" s="1293">
        <f t="shared" si="157"/>
        <v>0</v>
      </c>
      <c r="AD166" s="1293">
        <f t="shared" si="163"/>
        <v>0</v>
      </c>
      <c r="AE166" s="1293">
        <f t="shared" si="154"/>
        <v>0</v>
      </c>
      <c r="AF166" s="1294"/>
      <c r="AG166" s="1294"/>
      <c r="AH166" s="1294">
        <f t="shared" si="155"/>
        <v>0</v>
      </c>
      <c r="AI166" s="1294">
        <f t="shared" si="158"/>
        <v>0</v>
      </c>
      <c r="AJ166" s="1293">
        <f t="shared" si="164"/>
        <v>0</v>
      </c>
      <c r="AK166" s="1294"/>
      <c r="AL166" s="1294"/>
      <c r="AM166" s="1294"/>
      <c r="AN166" s="1294"/>
      <c r="AO166" s="1294"/>
      <c r="AP166" s="1294"/>
      <c r="AQ166" s="1294"/>
      <c r="AR166" s="1294">
        <f t="shared" si="187"/>
        <v>0</v>
      </c>
      <c r="AS166" s="1136"/>
      <c r="AT166" s="668">
        <f t="shared" si="188"/>
        <v>0</v>
      </c>
      <c r="AU166" s="463"/>
      <c r="AV166" s="468">
        <f t="shared" si="144"/>
        <v>0</v>
      </c>
      <c r="AW166" s="468">
        <f t="shared" si="189"/>
        <v>0</v>
      </c>
      <c r="AX166" s="463"/>
      <c r="AY166" s="463"/>
      <c r="AZ166" s="463"/>
      <c r="BA166" s="463"/>
      <c r="BB166" s="463"/>
      <c r="BC166" s="437">
        <f>T166+U166+V166+-W166</f>
        <v>0</v>
      </c>
      <c r="BD166" s="437"/>
      <c r="BE166" t="e">
        <f t="shared" si="152"/>
        <v>#DIV/0!</v>
      </c>
      <c r="BF166" s="437" t="e">
        <f t="shared" si="190"/>
        <v>#DIV/0!</v>
      </c>
    </row>
    <row r="167" spans="1:60" ht="39" customHeight="1">
      <c r="A167" s="1572"/>
      <c r="B167" s="1573"/>
      <c r="C167" s="1573"/>
      <c r="D167" s="1378" t="s">
        <v>319</v>
      </c>
      <c r="E167" s="1574"/>
      <c r="F167" s="1809">
        <v>821500</v>
      </c>
      <c r="G167" s="1837" t="s">
        <v>284</v>
      </c>
      <c r="H167" s="1575"/>
      <c r="I167" s="1575"/>
      <c r="J167" s="1575"/>
      <c r="K167" s="1576"/>
      <c r="L167" s="1577">
        <v>100000</v>
      </c>
      <c r="M167" s="1301"/>
      <c r="N167" s="1302"/>
      <c r="O167" s="1476">
        <f t="shared" si="184"/>
        <v>100000</v>
      </c>
      <c r="P167" s="1577"/>
      <c r="Q167" s="1301"/>
      <c r="R167" s="1302"/>
      <c r="S167" s="1476">
        <f t="shared" si="185"/>
        <v>0</v>
      </c>
      <c r="T167" s="1577">
        <v>50000</v>
      </c>
      <c r="U167" s="1301"/>
      <c r="V167" s="1302"/>
      <c r="W167" s="1476">
        <f t="shared" si="186"/>
        <v>50000</v>
      </c>
      <c r="X167" s="1578">
        <f t="shared" si="162"/>
        <v>50</v>
      </c>
      <c r="Y167" s="2457"/>
      <c r="Z167" s="1136"/>
      <c r="AA167" s="1136"/>
      <c r="AB167" s="1293">
        <f t="shared" si="148"/>
        <v>0</v>
      </c>
      <c r="AC167" s="1293">
        <f t="shared" si="157"/>
        <v>0</v>
      </c>
      <c r="AD167" s="1293">
        <f t="shared" si="163"/>
        <v>-50000</v>
      </c>
      <c r="AE167" s="1293">
        <f t="shared" si="154"/>
        <v>0</v>
      </c>
      <c r="AF167" s="1294"/>
      <c r="AG167" s="1294"/>
      <c r="AH167" s="1294">
        <f t="shared" si="155"/>
        <v>-50000</v>
      </c>
      <c r="AI167" s="1294">
        <f t="shared" si="158"/>
        <v>0</v>
      </c>
      <c r="AJ167" s="1293">
        <f t="shared" si="164"/>
        <v>0</v>
      </c>
      <c r="AK167" s="1294"/>
      <c r="AL167" s="1294"/>
      <c r="AM167" s="1294"/>
      <c r="AN167" s="1294"/>
      <c r="AO167" s="1294"/>
      <c r="AP167" s="1294"/>
      <c r="AQ167" s="1294"/>
      <c r="AR167" s="1294">
        <f t="shared" si="187"/>
        <v>0</v>
      </c>
      <c r="AS167" s="1136"/>
      <c r="AT167" s="668">
        <f t="shared" si="188"/>
        <v>0</v>
      </c>
      <c r="AU167" s="463"/>
      <c r="AV167" s="468">
        <f t="shared" si="144"/>
        <v>0</v>
      </c>
      <c r="AW167" s="468">
        <f t="shared" si="189"/>
        <v>50000</v>
      </c>
      <c r="AX167" s="272"/>
      <c r="AY167" s="272"/>
      <c r="AZ167" s="272"/>
      <c r="BA167" s="272"/>
      <c r="BB167" s="272"/>
      <c r="BC167" s="437">
        <f>T167+U167+V167+-W167</f>
        <v>0</v>
      </c>
      <c r="BD167" s="437"/>
      <c r="BE167">
        <f t="shared" si="152"/>
        <v>50</v>
      </c>
      <c r="BF167" s="437">
        <f t="shared" si="190"/>
        <v>0</v>
      </c>
    </row>
    <row r="168" spans="1:60" ht="39" customHeight="1">
      <c r="A168" s="1572"/>
      <c r="B168" s="1573"/>
      <c r="C168" s="1573"/>
      <c r="D168" s="1378" t="s">
        <v>319</v>
      </c>
      <c r="E168" s="1574"/>
      <c r="F168" s="1809" t="s">
        <v>195</v>
      </c>
      <c r="G168" s="1837" t="s">
        <v>857</v>
      </c>
      <c r="H168" s="1575"/>
      <c r="I168" s="1575"/>
      <c r="J168" s="1575"/>
      <c r="K168" s="1576"/>
      <c r="L168" s="1577"/>
      <c r="M168" s="1301">
        <v>224591</v>
      </c>
      <c r="N168" s="1302"/>
      <c r="O168" s="1476">
        <f t="shared" si="184"/>
        <v>224591</v>
      </c>
      <c r="P168" s="1577">
        <v>50000</v>
      </c>
      <c r="Q168" s="1301"/>
      <c r="R168" s="1302"/>
      <c r="S168" s="1476">
        <f t="shared" si="185"/>
        <v>50000</v>
      </c>
      <c r="T168" s="1577">
        <v>50000</v>
      </c>
      <c r="U168" s="1301"/>
      <c r="V168" s="1302"/>
      <c r="W168" s="1476">
        <f t="shared" si="186"/>
        <v>50000</v>
      </c>
      <c r="X168" s="1578">
        <f t="shared" si="162"/>
        <v>22.262690846917284</v>
      </c>
      <c r="Y168" s="2457"/>
      <c r="Z168" s="1136"/>
      <c r="AA168" s="1136"/>
      <c r="AB168" s="1293">
        <f t="shared" si="148"/>
        <v>0</v>
      </c>
      <c r="AC168" s="1293">
        <f t="shared" si="157"/>
        <v>0</v>
      </c>
      <c r="AD168" s="1293">
        <f t="shared" si="163"/>
        <v>-174591</v>
      </c>
      <c r="AE168" s="1293">
        <f t="shared" si="154"/>
        <v>0</v>
      </c>
      <c r="AF168" s="1294"/>
      <c r="AG168" s="1294"/>
      <c r="AH168" s="1294">
        <f t="shared" si="155"/>
        <v>50000</v>
      </c>
      <c r="AI168" s="1294">
        <f t="shared" si="158"/>
        <v>0</v>
      </c>
      <c r="AJ168" s="1293">
        <f t="shared" si="164"/>
        <v>0</v>
      </c>
      <c r="AK168" s="1294"/>
      <c r="AL168" s="1294"/>
      <c r="AM168" s="1294"/>
      <c r="AN168" s="1294"/>
      <c r="AO168" s="1294"/>
      <c r="AP168" s="1294"/>
      <c r="AQ168" s="1294"/>
      <c r="AR168" s="1294">
        <f t="shared" si="187"/>
        <v>0</v>
      </c>
      <c r="AS168" s="1136"/>
      <c r="AT168" s="668">
        <f t="shared" si="188"/>
        <v>0</v>
      </c>
      <c r="AU168" s="463"/>
      <c r="AV168" s="468">
        <f t="shared" si="144"/>
        <v>0</v>
      </c>
      <c r="AW168" s="468">
        <f t="shared" si="189"/>
        <v>50000</v>
      </c>
      <c r="AX168" s="669"/>
      <c r="AY168" s="669"/>
      <c r="AZ168" s="669"/>
      <c r="BA168" s="669"/>
      <c r="BB168" s="669"/>
      <c r="BC168" s="437">
        <f>T168+U168+V168+-W168</f>
        <v>0</v>
      </c>
      <c r="BD168" s="437"/>
      <c r="BE168">
        <f t="shared" si="152"/>
        <v>22.262690846917284</v>
      </c>
      <c r="BF168" s="437">
        <f t="shared" si="190"/>
        <v>0</v>
      </c>
    </row>
    <row r="169" spans="1:60" ht="39" customHeight="1">
      <c r="A169" s="1376"/>
      <c r="B169" s="1377"/>
      <c r="C169" s="1377"/>
      <c r="D169" s="1378" t="s">
        <v>319</v>
      </c>
      <c r="E169" s="1378" t="s">
        <v>285</v>
      </c>
      <c r="F169" s="1810"/>
      <c r="G169" s="1851" t="s">
        <v>681</v>
      </c>
      <c r="H169" s="1380">
        <f>SUM(H170,H196:H202)</f>
        <v>0</v>
      </c>
      <c r="I169" s="1380">
        <f>SUM(I170,I196:I202,I195)</f>
        <v>6586892</v>
      </c>
      <c r="J169" s="1380">
        <f>SUM(J170,J196:J202)</f>
        <v>0</v>
      </c>
      <c r="K169" s="1381">
        <f>SUM(K170,K196:K202,K195)</f>
        <v>6586892</v>
      </c>
      <c r="L169" s="1601">
        <f>SUM(L170,L196:L202)</f>
        <v>0</v>
      </c>
      <c r="M169" s="1303">
        <f>SUM(M170,M196:M202,M195)</f>
        <v>6346654</v>
      </c>
      <c r="N169" s="1304">
        <f>SUM(N170,N196:N202)</f>
        <v>0</v>
      </c>
      <c r="O169" s="1336">
        <f>SUM(O170,O196:O202,O195)</f>
        <v>6346654</v>
      </c>
      <c r="P169" s="1601">
        <f>SUM(P170,P193:P199,P192)</f>
        <v>0</v>
      </c>
      <c r="Q169" s="1303">
        <f>SUM(Q170,Q193:Q199)</f>
        <v>866700</v>
      </c>
      <c r="R169" s="1304">
        <f>SUM(R170,R193:R199,R192)</f>
        <v>0</v>
      </c>
      <c r="S169" s="1476"/>
      <c r="T169" s="1601">
        <f>SUM(T170,T196:T202)</f>
        <v>0</v>
      </c>
      <c r="U169" s="1303">
        <f>SUM(U170,U196:U202,U195)</f>
        <v>1847800</v>
      </c>
      <c r="V169" s="1304">
        <f>SUM(V170,V196:V202)</f>
        <v>0</v>
      </c>
      <c r="W169" s="1336">
        <f>SUM(W170,W196:W202,W195)</f>
        <v>1847800</v>
      </c>
      <c r="X169" s="1578">
        <f t="shared" si="162"/>
        <v>29.114553905097079</v>
      </c>
      <c r="Y169" s="2457">
        <f>'[1]PRIH REBALANS'!$AK$495</f>
        <v>1847800</v>
      </c>
      <c r="Z169" s="1136"/>
      <c r="AA169" s="1136">
        <f>'[9]PRIH REBALANS'!$AK$495</f>
        <v>1847800</v>
      </c>
      <c r="AB169" s="1293">
        <f t="shared" si="148"/>
        <v>0</v>
      </c>
      <c r="AC169" s="1293">
        <f t="shared" si="157"/>
        <v>0</v>
      </c>
      <c r="AD169" s="1293">
        <f t="shared" si="163"/>
        <v>-4498854</v>
      </c>
      <c r="AE169" s="1293">
        <f t="shared" si="154"/>
        <v>0</v>
      </c>
      <c r="AF169" s="1294"/>
      <c r="AG169" s="1294"/>
      <c r="AH169" s="1294">
        <f t="shared" si="155"/>
        <v>0</v>
      </c>
      <c r="AI169" s="1294">
        <f>AH169-U169</f>
        <v>-1847800</v>
      </c>
      <c r="AJ169" s="1293">
        <f t="shared" si="164"/>
        <v>0</v>
      </c>
      <c r="AK169" s="1294"/>
      <c r="AL169" s="1294"/>
      <c r="AM169" s="1294"/>
      <c r="AN169" s="1294"/>
      <c r="AO169" s="1294"/>
      <c r="AP169" s="1294"/>
      <c r="AQ169" s="1294">
        <f>'[8]PRIH REBALANS'!$AH$67+'[8]PRIH REBALANS'!$AH$181+'[8]PRIH REBALANS'!$AH$183</f>
        <v>1395650</v>
      </c>
      <c r="AR169" s="1294">
        <f t="shared" si="187"/>
        <v>0</v>
      </c>
      <c r="AS169" s="1136">
        <f>SUM(AS170,W195:W202)</f>
        <v>1569800</v>
      </c>
      <c r="AT169" s="668">
        <f t="shared" si="188"/>
        <v>0</v>
      </c>
      <c r="AU169" s="463">
        <f>SUM(AU170,AU202,W195:W201)</f>
        <v>1569800</v>
      </c>
      <c r="AV169" s="468">
        <f t="shared" si="144"/>
        <v>0</v>
      </c>
      <c r="AW169" s="468">
        <f t="shared" si="189"/>
        <v>1847800</v>
      </c>
      <c r="AX169" s="669"/>
      <c r="AY169" s="669"/>
      <c r="AZ169" s="669"/>
      <c r="BA169" s="669"/>
      <c r="BB169" s="669"/>
      <c r="BC169" s="437">
        <f>'[2]PRIH REBALANS'!$AH$514+'[2]PRIH REBALANS'!$AI$514</f>
        <v>6346653</v>
      </c>
      <c r="BD169" s="437">
        <f>BC169-W169</f>
        <v>4498853</v>
      </c>
      <c r="BE169">
        <f t="shared" si="152"/>
        <v>29.114553905097079</v>
      </c>
      <c r="BF169" s="437">
        <f t="shared" si="190"/>
        <v>0</v>
      </c>
      <c r="BH169" s="470">
        <f>SUM(BH170,W195:W201,BG202)</f>
        <v>1569800</v>
      </c>
    </row>
    <row r="170" spans="1:60" ht="39" customHeight="1">
      <c r="A170" s="1572"/>
      <c r="B170" s="1573"/>
      <c r="C170" s="1573"/>
      <c r="D170" s="1378"/>
      <c r="E170" s="1574"/>
      <c r="F170" s="1795">
        <v>613000</v>
      </c>
      <c r="G170" s="1840" t="s">
        <v>169</v>
      </c>
      <c r="H170" s="1380">
        <f>SUM(H171:H185)</f>
        <v>0</v>
      </c>
      <c r="I170" s="1380">
        <f>SUM(I171:I185)</f>
        <v>2249382</v>
      </c>
      <c r="J170" s="1380">
        <f>SUM(J171:J185)</f>
        <v>0</v>
      </c>
      <c r="K170" s="1642">
        <f>SUM(K171:K185,)</f>
        <v>2249382</v>
      </c>
      <c r="L170" s="1601">
        <f>SUM(L171:L185)</f>
        <v>0</v>
      </c>
      <c r="M170" s="1303">
        <f>SUM(M171:M185)</f>
        <v>1510000</v>
      </c>
      <c r="N170" s="1304">
        <f>SUM(N171:N185)</f>
        <v>0</v>
      </c>
      <c r="O170" s="1477">
        <f>SUM(O171:O185,)</f>
        <v>1510000</v>
      </c>
      <c r="P170" s="1601">
        <f>SUM(P171+P195+P201)</f>
        <v>0</v>
      </c>
      <c r="Q170" s="1303">
        <f>SUM(Q171+Q194+Q195+Q197+Q199)</f>
        <v>393350</v>
      </c>
      <c r="R170" s="1304">
        <f>SUM(R171+R195+R201)</f>
        <v>0</v>
      </c>
      <c r="S170" s="1336">
        <f>SUM(S171+S194+S195+S197+S199)</f>
        <v>1826350</v>
      </c>
      <c r="T170" s="1601">
        <f>SUM(T171:T182)</f>
        <v>0</v>
      </c>
      <c r="U170" s="1303">
        <f>SUM(U171:U185)</f>
        <v>752800</v>
      </c>
      <c r="V170" s="1304">
        <f>SUM(V171:V182)</f>
        <v>0</v>
      </c>
      <c r="W170" s="1477">
        <f>SUM(W171:W185,)</f>
        <v>752800</v>
      </c>
      <c r="X170" s="1578">
        <f t="shared" si="162"/>
        <v>49.854304635761586</v>
      </c>
      <c r="Y170" s="2457">
        <f>'[1]PRIH REBALANS'!$AK$496</f>
        <v>752800</v>
      </c>
      <c r="Z170" s="1136"/>
      <c r="AA170" s="1136">
        <f>'[9]PRIH REBALANS'!$AK$496</f>
        <v>752800</v>
      </c>
      <c r="AB170" s="1293">
        <f t="shared" si="148"/>
        <v>0</v>
      </c>
      <c r="AC170" s="1293">
        <f t="shared" si="157"/>
        <v>0</v>
      </c>
      <c r="AD170" s="1293">
        <f t="shared" si="163"/>
        <v>-757200</v>
      </c>
      <c r="AE170" s="1293">
        <f t="shared" si="154"/>
        <v>0</v>
      </c>
      <c r="AF170" s="1294"/>
      <c r="AG170" s="1294"/>
      <c r="AH170" s="1294">
        <f t="shared" si="155"/>
        <v>0</v>
      </c>
      <c r="AI170" s="1294">
        <f t="shared" ref="AI170:AI201" si="191">T170+U170+V170-W170</f>
        <v>0</v>
      </c>
      <c r="AJ170" s="1293">
        <f t="shared" si="164"/>
        <v>0</v>
      </c>
      <c r="AK170" s="1294"/>
      <c r="AL170" s="1294"/>
      <c r="AM170" s="1294"/>
      <c r="AN170" s="1294"/>
      <c r="AO170" s="1294"/>
      <c r="AP170" s="1294"/>
      <c r="AQ170" s="1294">
        <f>SUM(U171,U177,U180,U182,U187:U191,U195:U199,U203,U204)</f>
        <v>1095800</v>
      </c>
      <c r="AR170" s="1294">
        <f t="shared" si="187"/>
        <v>0</v>
      </c>
      <c r="AS170" s="1136">
        <f>SUM(W171:W182)</f>
        <v>474800</v>
      </c>
      <c r="AT170" s="668">
        <f t="shared" si="188"/>
        <v>0</v>
      </c>
      <c r="AU170" s="463">
        <f>SUM(W171:W182)</f>
        <v>474800</v>
      </c>
      <c r="AV170" s="468">
        <f t="shared" si="144"/>
        <v>0</v>
      </c>
      <c r="AW170" s="468">
        <f t="shared" si="189"/>
        <v>752800</v>
      </c>
      <c r="AX170" s="463"/>
      <c r="AY170" s="463"/>
      <c r="AZ170" s="463"/>
      <c r="BA170" s="463"/>
      <c r="BB170" s="463"/>
      <c r="BC170" s="437">
        <f>'[2]PRIH REBALANS'!$AK$515</f>
        <v>1510000</v>
      </c>
      <c r="BD170" s="437"/>
      <c r="BE170" s="360">
        <f>SUM(BE171:BE185)</f>
        <v>860000</v>
      </c>
      <c r="BF170" s="427">
        <f>SUM(BF171:BF185,)</f>
        <v>650000</v>
      </c>
      <c r="BH170" s="209">
        <f>SUM(W171:W182)</f>
        <v>474800</v>
      </c>
    </row>
    <row r="171" spans="1:60" ht="53.45" customHeight="1">
      <c r="A171" s="1572"/>
      <c r="B171" s="1573"/>
      <c r="C171" s="1573"/>
      <c r="D171" s="1574">
        <v>226</v>
      </c>
      <c r="E171" s="1574"/>
      <c r="F171" s="1796">
        <v>613329</v>
      </c>
      <c r="G171" s="1837" t="s">
        <v>286</v>
      </c>
      <c r="H171" s="1575"/>
      <c r="I171" s="1644">
        <v>260000</v>
      </c>
      <c r="J171" s="1575"/>
      <c r="K171" s="1576">
        <f>SUM(H171:J171)</f>
        <v>260000</v>
      </c>
      <c r="L171" s="1577"/>
      <c r="M171" s="1357">
        <v>260000</v>
      </c>
      <c r="N171" s="1302"/>
      <c r="O171" s="1476">
        <f>SUM(L171:N171)</f>
        <v>260000</v>
      </c>
      <c r="P171" s="1601">
        <f>SUM(P172:P185)</f>
        <v>0</v>
      </c>
      <c r="Q171" s="1303"/>
      <c r="R171" s="1304">
        <f>SUM(R172:R185)</f>
        <v>0</v>
      </c>
      <c r="S171" s="1477">
        <f>SUM(S172+S174+S177+S180+S182+S183+S184+S185)</f>
        <v>1433000</v>
      </c>
      <c r="T171" s="1601"/>
      <c r="U171" s="1360">
        <v>75800</v>
      </c>
      <c r="V171" s="1304"/>
      <c r="W171" s="1389">
        <f>T171+U171+V171</f>
        <v>75800</v>
      </c>
      <c r="X171" s="1578">
        <f t="shared" si="162"/>
        <v>29.153846153846153</v>
      </c>
      <c r="Y171" s="2457"/>
      <c r="Z171" s="1136">
        <f>SUM(U171,U177,U180,U182,U187:U191,U195:U200,U203:U204)</f>
        <v>1395800</v>
      </c>
      <c r="AA171" s="1136"/>
      <c r="AB171" s="1293">
        <f t="shared" si="148"/>
        <v>0</v>
      </c>
      <c r="AC171" s="1293">
        <f t="shared" si="157"/>
        <v>0</v>
      </c>
      <c r="AD171" s="1293">
        <f t="shared" si="163"/>
        <v>-184200</v>
      </c>
      <c r="AE171" s="1293">
        <f t="shared" si="154"/>
        <v>0</v>
      </c>
      <c r="AF171" s="1294"/>
      <c r="AG171" s="1294">
        <f>SUM(U171,U177,U180,U182,U187:U191,U195:U200,U203:U204)</f>
        <v>1395800</v>
      </c>
      <c r="AH171" s="1294">
        <f t="shared" si="155"/>
        <v>0</v>
      </c>
      <c r="AI171" s="1294">
        <f t="shared" si="191"/>
        <v>0</v>
      </c>
      <c r="AJ171" s="1293">
        <f t="shared" si="164"/>
        <v>0</v>
      </c>
      <c r="AK171" s="1294"/>
      <c r="AL171" s="1294"/>
      <c r="AM171" s="1294"/>
      <c r="AN171" s="1294"/>
      <c r="AO171" s="1294"/>
      <c r="AP171" s="1294"/>
      <c r="AQ171" s="1294">
        <f>AQ169-AQ170</f>
        <v>299850</v>
      </c>
      <c r="AR171" s="1294">
        <f t="shared" si="187"/>
        <v>0</v>
      </c>
      <c r="AS171" s="1136"/>
      <c r="AT171" s="668">
        <f t="shared" si="188"/>
        <v>0</v>
      </c>
      <c r="AU171" s="463"/>
      <c r="AV171" s="468">
        <f t="shared" si="144"/>
        <v>0</v>
      </c>
      <c r="AW171" s="468">
        <f t="shared" si="189"/>
        <v>75800</v>
      </c>
      <c r="AX171" s="272" t="e">
        <f>U171+#REF!+U174+U177+U179+U184+U185+U186+U188+U195+U196+U200+U203+U204</f>
        <v>#REF!</v>
      </c>
      <c r="AY171" s="272" t="e">
        <f>SUM(U172,#REF!,U175,U178,U189,U199,U201,#REF!)</f>
        <v>#REF!</v>
      </c>
      <c r="AZ171" s="272"/>
      <c r="BA171" s="272"/>
      <c r="BB171" s="272"/>
      <c r="BC171" s="437">
        <f>T171+U171+V171+-W171</f>
        <v>0</v>
      </c>
      <c r="BD171" s="437"/>
      <c r="BE171" s="647">
        <v>260000</v>
      </c>
      <c r="BF171" s="648"/>
      <c r="BH171" s="209" t="e">
        <f>SUM(U171,#REF!,#REF!,U174,U177,U179,U185:U186,U188,U195:U196,U203:U204)</f>
        <v>#REF!</v>
      </c>
    </row>
    <row r="172" spans="1:60" ht="53.45" customHeight="1">
      <c r="A172" s="1572"/>
      <c r="B172" s="1573"/>
      <c r="C172" s="1573"/>
      <c r="D172" s="1574">
        <v>226</v>
      </c>
      <c r="E172" s="1574"/>
      <c r="F172" s="1796">
        <v>613329</v>
      </c>
      <c r="G172" s="1837" t="s">
        <v>684</v>
      </c>
      <c r="H172" s="1575"/>
      <c r="I172" s="1644">
        <v>400000</v>
      </c>
      <c r="J172" s="1575"/>
      <c r="K172" s="1576">
        <f t="shared" ref="K172:K184" si="192">SUM(H172:J172)</f>
        <v>400000</v>
      </c>
      <c r="L172" s="1577"/>
      <c r="M172" s="1357">
        <v>400000</v>
      </c>
      <c r="N172" s="1302"/>
      <c r="O172" s="1476">
        <f t="shared" ref="O172:O184" si="193">SUM(L172:N172)</f>
        <v>400000</v>
      </c>
      <c r="P172" s="1577"/>
      <c r="Q172" s="1328">
        <v>600000</v>
      </c>
      <c r="R172" s="1302"/>
      <c r="S172" s="1476">
        <v>600000</v>
      </c>
      <c r="T172" s="1577"/>
      <c r="U172" s="1328"/>
      <c r="V172" s="1302"/>
      <c r="W172" s="1389">
        <f t="shared" ref="W172:W184" si="194">T172+U172+V172</f>
        <v>0</v>
      </c>
      <c r="X172" s="1578">
        <f t="shared" si="162"/>
        <v>0</v>
      </c>
      <c r="Y172" s="2457"/>
      <c r="Z172" s="1136">
        <f>'prihodi posebni dio'!X32+'prihodi posebni dio'!X33+'prihodi posebni dio'!X108+'prihodi posebni dio'!X110</f>
        <v>1395800</v>
      </c>
      <c r="AA172" s="1136"/>
      <c r="AB172" s="1293">
        <f t="shared" si="148"/>
        <v>0</v>
      </c>
      <c r="AC172" s="1293">
        <f t="shared" si="157"/>
        <v>0</v>
      </c>
      <c r="AD172" s="1293">
        <f t="shared" si="163"/>
        <v>-400000</v>
      </c>
      <c r="AE172" s="1293">
        <f t="shared" si="154"/>
        <v>0</v>
      </c>
      <c r="AF172" s="1294"/>
      <c r="AG172" s="1294">
        <f>'prihodi posebni dio'!X108+'prihodi posebni dio'!X110+'prihodi posebni dio'!X32+'prihodi posebni dio'!X33</f>
        <v>1395800</v>
      </c>
      <c r="AH172" s="1294">
        <f t="shared" si="155"/>
        <v>0</v>
      </c>
      <c r="AI172" s="1294">
        <f t="shared" si="191"/>
        <v>0</v>
      </c>
      <c r="AJ172" s="1293">
        <f t="shared" si="164"/>
        <v>0</v>
      </c>
      <c r="AK172" s="1294"/>
      <c r="AL172" s="1294"/>
      <c r="AM172" s="1294"/>
      <c r="AN172" s="1294"/>
      <c r="AO172" s="1294"/>
      <c r="AP172" s="1294"/>
      <c r="AQ172" s="1294">
        <f>'[8]PRIH REBALANS'!$AH$156+'[8]PRIH REBALANS'!$AH$184+'[8]PRIH REBALANS'!$AH$185</f>
        <v>452000</v>
      </c>
      <c r="AR172" s="1294">
        <f t="shared" si="187"/>
        <v>0</v>
      </c>
      <c r="AS172" s="1136"/>
      <c r="AT172" s="668">
        <f t="shared" si="188"/>
        <v>0</v>
      </c>
      <c r="AU172" s="463"/>
      <c r="AV172" s="468">
        <f t="shared" si="144"/>
        <v>0</v>
      </c>
      <c r="AW172" s="468">
        <f t="shared" si="189"/>
        <v>0</v>
      </c>
      <c r="AX172" s="272">
        <f>'prihodi posebni dio'!T32+'prihodi posebni dio'!T33+'prihodi posebni dio'!T108+'prihodi posebni dio'!T110</f>
        <v>1405650</v>
      </c>
      <c r="AY172" s="272"/>
      <c r="AZ172" s="272"/>
      <c r="BA172" s="272"/>
      <c r="BB172" s="272"/>
      <c r="BC172" s="437">
        <f>T172+U172+V172+-W172</f>
        <v>0</v>
      </c>
      <c r="BD172" s="437"/>
      <c r="BE172" s="649"/>
      <c r="BF172" s="649">
        <v>400000</v>
      </c>
    </row>
    <row r="173" spans="1:60" ht="53.45" customHeight="1">
      <c r="A173" s="1572"/>
      <c r="B173" s="1573"/>
      <c r="C173" s="1573"/>
      <c r="D173" s="1574">
        <v>226</v>
      </c>
      <c r="E173" s="1574"/>
      <c r="F173" s="1796" t="s">
        <v>287</v>
      </c>
      <c r="G173" s="1837" t="s">
        <v>288</v>
      </c>
      <c r="H173" s="1575"/>
      <c r="I173" s="1644">
        <v>130000</v>
      </c>
      <c r="J173" s="1575"/>
      <c r="K173" s="1576">
        <f t="shared" si="192"/>
        <v>130000</v>
      </c>
      <c r="L173" s="1577"/>
      <c r="M173" s="1357">
        <v>100000</v>
      </c>
      <c r="N173" s="1302"/>
      <c r="O173" s="1476">
        <f t="shared" si="193"/>
        <v>100000</v>
      </c>
      <c r="P173" s="1577"/>
      <c r="Q173" s="1328"/>
      <c r="R173" s="1302"/>
      <c r="S173" s="1476"/>
      <c r="T173" s="1577"/>
      <c r="U173" s="1328"/>
      <c r="V173" s="1302"/>
      <c r="W173" s="1389">
        <f t="shared" si="194"/>
        <v>0</v>
      </c>
      <c r="X173" s="1578">
        <f t="shared" si="162"/>
        <v>0</v>
      </c>
      <c r="Y173" s="2457"/>
      <c r="Z173" s="1136"/>
      <c r="AA173" s="1136"/>
      <c r="AB173" s="1293">
        <f t="shared" si="148"/>
        <v>0</v>
      </c>
      <c r="AC173" s="1293">
        <f t="shared" si="157"/>
        <v>0</v>
      </c>
      <c r="AD173" s="1293">
        <f t="shared" si="163"/>
        <v>-100000</v>
      </c>
      <c r="AE173" s="1293">
        <f t="shared" si="154"/>
        <v>0</v>
      </c>
      <c r="AF173" s="1294"/>
      <c r="AG173" s="1294">
        <f>SUM(U176,U179,U183:U184,U186,U193:U194,U206)</f>
        <v>452000</v>
      </c>
      <c r="AH173" s="1294">
        <f t="shared" si="155"/>
        <v>0</v>
      </c>
      <c r="AI173" s="1294">
        <f t="shared" si="191"/>
        <v>0</v>
      </c>
      <c r="AJ173" s="1293">
        <f t="shared" si="164"/>
        <v>0</v>
      </c>
      <c r="AK173" s="1294"/>
      <c r="AL173" s="1294"/>
      <c r="AM173" s="1294"/>
      <c r="AN173" s="1294"/>
      <c r="AO173" s="1294"/>
      <c r="AP173" s="1294"/>
      <c r="AQ173" s="1294">
        <f>SUM(U176,U179,U183:U184,U186,U186,U206)</f>
        <v>410000</v>
      </c>
      <c r="AR173" s="1294" t="e">
        <f>#REF!+#REF!+#REF!-#REF!</f>
        <v>#REF!</v>
      </c>
      <c r="AS173" s="1136"/>
      <c r="AT173" s="668" t="e">
        <f>#REF!+#REF!+#REF!-#REF!</f>
        <v>#REF!</v>
      </c>
      <c r="AU173" s="463"/>
      <c r="AV173" s="468" t="e">
        <f>#REF!+#REF!+#REF!-#REF!</f>
        <v>#REF!</v>
      </c>
      <c r="AW173" s="468" t="e">
        <f>#REF!-AV173</f>
        <v>#REF!</v>
      </c>
      <c r="AX173" s="272"/>
      <c r="AY173" s="272"/>
      <c r="AZ173" s="272"/>
      <c r="BA173" s="272"/>
      <c r="BB173" s="272"/>
      <c r="BC173" s="437" t="e">
        <f>#REF!+#REF!+#REF!+-#REF!</f>
        <v>#REF!</v>
      </c>
      <c r="BD173" s="437"/>
      <c r="BE173" s="647">
        <v>100000</v>
      </c>
      <c r="BF173" s="648"/>
    </row>
    <row r="174" spans="1:60" ht="53.45" customHeight="1">
      <c r="A174" s="1572"/>
      <c r="B174" s="1573"/>
      <c r="C174" s="1573"/>
      <c r="D174" s="1574">
        <v>226</v>
      </c>
      <c r="E174" s="1574"/>
      <c r="F174" s="1796" t="s">
        <v>287</v>
      </c>
      <c r="G174" s="1837" t="s">
        <v>680</v>
      </c>
      <c r="H174" s="1575"/>
      <c r="I174" s="1644">
        <v>269382</v>
      </c>
      <c r="J174" s="1575"/>
      <c r="K174" s="1576">
        <f t="shared" si="192"/>
        <v>269382</v>
      </c>
      <c r="L174" s="1577"/>
      <c r="M174" s="1357">
        <v>100000</v>
      </c>
      <c r="N174" s="1302"/>
      <c r="O174" s="1476">
        <f t="shared" si="193"/>
        <v>100000</v>
      </c>
      <c r="P174" s="1577"/>
      <c r="Q174" s="1328">
        <v>210000</v>
      </c>
      <c r="R174" s="1302"/>
      <c r="S174" s="1476">
        <v>210000</v>
      </c>
      <c r="T174" s="1577"/>
      <c r="U174" s="1328"/>
      <c r="V174" s="1302"/>
      <c r="W174" s="1389">
        <f t="shared" si="194"/>
        <v>0</v>
      </c>
      <c r="X174" s="1578">
        <f t="shared" si="162"/>
        <v>0</v>
      </c>
      <c r="Y174" s="2457"/>
      <c r="Z174" s="1136"/>
      <c r="AA174" s="1136"/>
      <c r="AB174" s="1293">
        <f t="shared" si="148"/>
        <v>0</v>
      </c>
      <c r="AC174" s="1293">
        <f t="shared" si="157"/>
        <v>0</v>
      </c>
      <c r="AD174" s="1293">
        <f t="shared" si="163"/>
        <v>-100000</v>
      </c>
      <c r="AE174" s="1293">
        <f t="shared" si="154"/>
        <v>0</v>
      </c>
      <c r="AF174" s="1294"/>
      <c r="AG174" s="1294">
        <f>'prihodi posebni dio'!X86+'prihodi posebni dio'!X111+'prihodi posebni dio'!X112</f>
        <v>452000</v>
      </c>
      <c r="AH174" s="1294">
        <f t="shared" si="155"/>
        <v>0</v>
      </c>
      <c r="AI174" s="1294">
        <f t="shared" si="191"/>
        <v>0</v>
      </c>
      <c r="AJ174" s="1293">
        <f t="shared" si="164"/>
        <v>0</v>
      </c>
      <c r="AK174" s="1294"/>
      <c r="AL174" s="1294"/>
      <c r="AM174" s="1294"/>
      <c r="AN174" s="1294"/>
      <c r="AO174" s="1294"/>
      <c r="AP174" s="1294"/>
      <c r="AQ174" s="1294">
        <f>AQ172-AQ173</f>
        <v>42000</v>
      </c>
      <c r="AR174" s="1294" t="e">
        <f>#REF!+#REF!+#REF!-#REF!</f>
        <v>#REF!</v>
      </c>
      <c r="AS174" s="1136"/>
      <c r="AT174" s="668" t="e">
        <f>#REF!+#REF!+#REF!-#REF!</f>
        <v>#REF!</v>
      </c>
      <c r="AU174" s="463"/>
      <c r="AV174" s="468" t="e">
        <f>#REF!+#REF!+#REF!-#REF!</f>
        <v>#REF!</v>
      </c>
      <c r="AW174" s="468" t="e">
        <f>#REF!-AV174</f>
        <v>#REF!</v>
      </c>
      <c r="AX174" s="272"/>
      <c r="AY174" s="272"/>
      <c r="AZ174" s="272"/>
      <c r="BA174" s="272"/>
      <c r="BB174" s="272"/>
      <c r="BC174" s="437" t="e">
        <f>#REF!+#REF!+#REF!+-#REF!</f>
        <v>#REF!</v>
      </c>
      <c r="BD174" s="437"/>
      <c r="BE174" s="649"/>
      <c r="BF174" s="649">
        <v>100000</v>
      </c>
    </row>
    <row r="175" spans="1:60" ht="53.45" hidden="1" customHeight="1">
      <c r="A175" s="1572"/>
      <c r="B175" s="1573"/>
      <c r="C175" s="1573"/>
      <c r="D175" s="1574">
        <v>226</v>
      </c>
      <c r="E175" s="1574"/>
      <c r="F175" s="1796" t="s">
        <v>287</v>
      </c>
      <c r="G175" s="1837" t="s">
        <v>289</v>
      </c>
      <c r="H175" s="1575"/>
      <c r="I175" s="1644">
        <v>50000</v>
      </c>
      <c r="J175" s="1575"/>
      <c r="K175" s="1576">
        <f t="shared" si="192"/>
        <v>50000</v>
      </c>
      <c r="L175" s="1577"/>
      <c r="M175" s="1328"/>
      <c r="N175" s="1302"/>
      <c r="O175" s="1476">
        <f t="shared" si="193"/>
        <v>0</v>
      </c>
      <c r="P175" s="1577"/>
      <c r="Q175" s="1328"/>
      <c r="R175" s="1302"/>
      <c r="S175" s="1476"/>
      <c r="T175" s="1577"/>
      <c r="U175" s="1328"/>
      <c r="V175" s="1302"/>
      <c r="W175" s="1389">
        <f t="shared" si="194"/>
        <v>0</v>
      </c>
      <c r="X175" s="1578" t="e">
        <f t="shared" si="162"/>
        <v>#DIV/0!</v>
      </c>
      <c r="Y175" s="2457"/>
      <c r="Z175" s="1136"/>
      <c r="AA175" s="1136"/>
      <c r="AB175" s="1293">
        <f t="shared" si="148"/>
        <v>0</v>
      </c>
      <c r="AC175" s="1293">
        <f t="shared" si="157"/>
        <v>0</v>
      </c>
      <c r="AD175" s="1293">
        <f t="shared" si="163"/>
        <v>0</v>
      </c>
      <c r="AE175" s="1293">
        <f t="shared" si="154"/>
        <v>0</v>
      </c>
      <c r="AF175" s="1294"/>
      <c r="AG175" s="1294"/>
      <c r="AH175" s="1294">
        <f t="shared" si="155"/>
        <v>0</v>
      </c>
      <c r="AI175" s="1294">
        <f t="shared" si="191"/>
        <v>0</v>
      </c>
      <c r="AJ175" s="1293">
        <f t="shared" si="164"/>
        <v>0</v>
      </c>
      <c r="AK175" s="1294"/>
      <c r="AL175" s="1294"/>
      <c r="AM175" s="1294"/>
      <c r="AN175" s="1294"/>
      <c r="AO175" s="1294"/>
      <c r="AP175" s="1294"/>
      <c r="AQ175" s="1294"/>
      <c r="AR175" s="1294" t="e">
        <f>#REF!+#REF!+#REF!-#REF!</f>
        <v>#REF!</v>
      </c>
      <c r="AS175" s="1136"/>
      <c r="AT175" s="668" t="e">
        <f>#REF!+#REF!+#REF!-#REF!</f>
        <v>#REF!</v>
      </c>
      <c r="AU175" s="463"/>
      <c r="AV175" s="468" t="e">
        <f>#REF!+#REF!+#REF!-#REF!</f>
        <v>#REF!</v>
      </c>
      <c r="AW175" s="468" t="e">
        <f>#REF!-AV175</f>
        <v>#REF!</v>
      </c>
      <c r="AX175" s="272"/>
      <c r="AY175" s="272"/>
      <c r="AZ175" s="272"/>
      <c r="BA175" s="272"/>
      <c r="BB175" s="272"/>
      <c r="BC175" s="437" t="e">
        <f>#REF!+#REF!+#REF!+-#REF!</f>
        <v>#REF!</v>
      </c>
      <c r="BD175" s="437"/>
      <c r="BE175" s="647"/>
      <c r="BF175" s="648"/>
    </row>
    <row r="176" spans="1:60" ht="53.45" customHeight="1">
      <c r="A176" s="1572"/>
      <c r="B176" s="1573"/>
      <c r="C176" s="1573"/>
      <c r="D176" s="1574">
        <v>227</v>
      </c>
      <c r="E176" s="1574"/>
      <c r="F176" s="1796" t="s">
        <v>290</v>
      </c>
      <c r="G176" s="1837" t="s">
        <v>291</v>
      </c>
      <c r="H176" s="1575"/>
      <c r="I176" s="1644">
        <v>70000</v>
      </c>
      <c r="J176" s="1575"/>
      <c r="K176" s="1576">
        <f t="shared" si="192"/>
        <v>70000</v>
      </c>
      <c r="L176" s="1577"/>
      <c r="M176" s="1361">
        <v>50000</v>
      </c>
      <c r="N176" s="1302"/>
      <c r="O176" s="1476">
        <f t="shared" si="193"/>
        <v>50000</v>
      </c>
      <c r="P176" s="1577"/>
      <c r="Q176" s="1328"/>
      <c r="R176" s="1302"/>
      <c r="S176" s="1476"/>
      <c r="T176" s="1577"/>
      <c r="U176" s="1361">
        <v>60000</v>
      </c>
      <c r="V176" s="1302"/>
      <c r="W176" s="1389">
        <f t="shared" si="194"/>
        <v>60000</v>
      </c>
      <c r="X176" s="1578">
        <f t="shared" si="162"/>
        <v>120</v>
      </c>
      <c r="Y176" s="2457"/>
      <c r="Z176" s="1136">
        <f>SUM(U176,U179,U183:U184,U186,U193:U194,U206)</f>
        <v>452000</v>
      </c>
      <c r="AA176" s="1136"/>
      <c r="AB176" s="1293">
        <f t="shared" si="148"/>
        <v>0</v>
      </c>
      <c r="AC176" s="1293">
        <f t="shared" si="157"/>
        <v>0</v>
      </c>
      <c r="AD176" s="1293">
        <f t="shared" si="163"/>
        <v>10000</v>
      </c>
      <c r="AE176" s="1293">
        <f t="shared" si="154"/>
        <v>0</v>
      </c>
      <c r="AF176" s="1294"/>
      <c r="AG176" s="1294"/>
      <c r="AH176" s="1294">
        <f t="shared" si="155"/>
        <v>0</v>
      </c>
      <c r="AI176" s="1294">
        <f t="shared" si="191"/>
        <v>0</v>
      </c>
      <c r="AJ176" s="1293">
        <f t="shared" si="164"/>
        <v>0</v>
      </c>
      <c r="AK176" s="1294"/>
      <c r="AL176" s="1294"/>
      <c r="AM176" s="1294"/>
      <c r="AN176" s="1294"/>
      <c r="AO176" s="1294"/>
      <c r="AP176" s="1294"/>
      <c r="AQ176" s="1294"/>
      <c r="AR176" s="1294">
        <f t="shared" ref="AR176:AR194" si="195">T173+U173+V173-W173</f>
        <v>0</v>
      </c>
      <c r="AS176" s="1136"/>
      <c r="AT176" s="668">
        <f t="shared" ref="AT176:AT194" si="196">T173+U173+V173-W173</f>
        <v>0</v>
      </c>
      <c r="AU176" s="463"/>
      <c r="AV176" s="468">
        <f t="shared" ref="AV176:AV194" si="197">T173+U173+V173-W173</f>
        <v>0</v>
      </c>
      <c r="AW176" s="468">
        <f t="shared" ref="AW176:AW194" si="198">W173-AV176</f>
        <v>0</v>
      </c>
      <c r="AX176" s="272" t="e">
        <f>SUM(U173,U176,U180:U181,U183,U190:U191,#REF!)</f>
        <v>#REF!</v>
      </c>
      <c r="AY176" s="272"/>
      <c r="AZ176" s="272"/>
      <c r="BA176" s="272"/>
      <c r="BB176" s="272"/>
      <c r="BC176" s="437">
        <f t="shared" ref="BC176:BC184" si="199">T173+U173+V173+-W173</f>
        <v>0</v>
      </c>
      <c r="BD176" s="437"/>
      <c r="BE176" s="650">
        <v>50000</v>
      </c>
      <c r="BF176" s="651"/>
    </row>
    <row r="177" spans="1:59" ht="53.45" customHeight="1">
      <c r="A177" s="1572"/>
      <c r="B177" s="1573"/>
      <c r="C177" s="1573"/>
      <c r="D177" s="1574">
        <v>225</v>
      </c>
      <c r="E177" s="1574"/>
      <c r="F177" s="1796" t="s">
        <v>290</v>
      </c>
      <c r="G177" s="1837" t="s">
        <v>682</v>
      </c>
      <c r="H177" s="1575"/>
      <c r="I177" s="1644"/>
      <c r="J177" s="1575"/>
      <c r="K177" s="1576"/>
      <c r="L177" s="1577"/>
      <c r="M177" s="1357">
        <v>100000</v>
      </c>
      <c r="N177" s="1302"/>
      <c r="O177" s="1476">
        <f t="shared" si="193"/>
        <v>100000</v>
      </c>
      <c r="P177" s="1577"/>
      <c r="Q177" s="1328">
        <v>160000</v>
      </c>
      <c r="R177" s="1302"/>
      <c r="S177" s="1476">
        <v>160000</v>
      </c>
      <c r="T177" s="1577"/>
      <c r="U177" s="1358">
        <v>100000</v>
      </c>
      <c r="V177" s="1302"/>
      <c r="W177" s="1389">
        <f t="shared" si="194"/>
        <v>100000</v>
      </c>
      <c r="X177" s="1578">
        <f t="shared" si="162"/>
        <v>100</v>
      </c>
      <c r="Y177" s="2457"/>
      <c r="Z177" s="1136">
        <f>'prihodi posebni dio'!X86+'prihodi posebni dio'!X111+'prihodi posebni dio'!X112</f>
        <v>452000</v>
      </c>
      <c r="AA177" s="1136"/>
      <c r="AB177" s="1293">
        <f t="shared" si="148"/>
        <v>0</v>
      </c>
      <c r="AC177" s="1293">
        <f t="shared" si="157"/>
        <v>0</v>
      </c>
      <c r="AD177" s="1293">
        <f t="shared" si="163"/>
        <v>0</v>
      </c>
      <c r="AE177" s="1293">
        <f t="shared" si="154"/>
        <v>0</v>
      </c>
      <c r="AF177" s="1294"/>
      <c r="AG177" s="1294"/>
      <c r="AH177" s="1294">
        <f t="shared" si="155"/>
        <v>0</v>
      </c>
      <c r="AI177" s="1294">
        <f t="shared" si="191"/>
        <v>0</v>
      </c>
      <c r="AJ177" s="1293">
        <f t="shared" si="164"/>
        <v>0</v>
      </c>
      <c r="AK177" s="1294"/>
      <c r="AL177" s="1294"/>
      <c r="AM177" s="1294"/>
      <c r="AN177" s="1294"/>
      <c r="AO177" s="1294"/>
      <c r="AP177" s="1294"/>
      <c r="AQ177" s="1294"/>
      <c r="AR177" s="1294">
        <f t="shared" si="195"/>
        <v>0</v>
      </c>
      <c r="AS177" s="1136"/>
      <c r="AT177" s="668">
        <f t="shared" si="196"/>
        <v>0</v>
      </c>
      <c r="AU177" s="463"/>
      <c r="AV177" s="468">
        <f t="shared" si="197"/>
        <v>0</v>
      </c>
      <c r="AW177" s="468">
        <f t="shared" si="198"/>
        <v>0</v>
      </c>
      <c r="AX177" s="272">
        <f>'prihodi posebni dio'!T86+'prihodi posebni dio'!T111+'prihodi posebni dio'!T112</f>
        <v>365000</v>
      </c>
      <c r="AY177" s="272"/>
      <c r="AZ177" s="272"/>
      <c r="BA177" s="272"/>
      <c r="BB177" s="272"/>
      <c r="BC177" s="437">
        <f t="shared" si="199"/>
        <v>0</v>
      </c>
      <c r="BD177" s="437"/>
      <c r="BE177" s="647">
        <v>100000</v>
      </c>
      <c r="BF177" s="648"/>
    </row>
    <row r="178" spans="1:59" ht="53.45" customHeight="1">
      <c r="A178" s="1572"/>
      <c r="B178" s="1573"/>
      <c r="C178" s="1573"/>
      <c r="D178" s="1574">
        <v>226</v>
      </c>
      <c r="E178" s="1574"/>
      <c r="F178" s="1796" t="s">
        <v>290</v>
      </c>
      <c r="G178" s="1837" t="s">
        <v>683</v>
      </c>
      <c r="H178" s="1575"/>
      <c r="I178" s="1644">
        <v>450000</v>
      </c>
      <c r="J178" s="1575"/>
      <c r="K178" s="1576">
        <f t="shared" si="192"/>
        <v>450000</v>
      </c>
      <c r="L178" s="1577"/>
      <c r="M178" s="1357">
        <v>50000</v>
      </c>
      <c r="N178" s="1302"/>
      <c r="O178" s="1476">
        <f t="shared" si="193"/>
        <v>50000</v>
      </c>
      <c r="P178" s="1577"/>
      <c r="Q178" s="1301"/>
      <c r="R178" s="1302"/>
      <c r="S178" s="1476"/>
      <c r="T178" s="1577"/>
      <c r="U178" s="1328"/>
      <c r="V178" s="1302"/>
      <c r="W178" s="1389">
        <f t="shared" si="194"/>
        <v>0</v>
      </c>
      <c r="X178" s="1578">
        <f t="shared" si="162"/>
        <v>0</v>
      </c>
      <c r="Y178" s="2457"/>
      <c r="Z178" s="1136"/>
      <c r="AA178" s="1136"/>
      <c r="AB178" s="1293">
        <f t="shared" si="148"/>
        <v>0</v>
      </c>
      <c r="AC178" s="1293">
        <f t="shared" si="157"/>
        <v>0</v>
      </c>
      <c r="AD178" s="1293">
        <f t="shared" si="163"/>
        <v>-50000</v>
      </c>
      <c r="AE178" s="1293">
        <f t="shared" si="154"/>
        <v>0</v>
      </c>
      <c r="AF178" s="1294"/>
      <c r="AG178" s="1294"/>
      <c r="AH178" s="1294">
        <f t="shared" si="155"/>
        <v>0</v>
      </c>
      <c r="AI178" s="1294">
        <f t="shared" si="191"/>
        <v>0</v>
      </c>
      <c r="AJ178" s="1293">
        <f t="shared" si="164"/>
        <v>0</v>
      </c>
      <c r="AK178" s="1294"/>
      <c r="AL178" s="1294"/>
      <c r="AM178" s="1294"/>
      <c r="AN178" s="1294"/>
      <c r="AO178" s="1294"/>
      <c r="AP178" s="1294"/>
      <c r="AQ178" s="1294"/>
      <c r="AR178" s="1294">
        <f t="shared" si="195"/>
        <v>0</v>
      </c>
      <c r="AS178" s="1136"/>
      <c r="AT178" s="668">
        <f t="shared" si="196"/>
        <v>0</v>
      </c>
      <c r="AU178" s="463"/>
      <c r="AV178" s="468">
        <f t="shared" si="197"/>
        <v>0</v>
      </c>
      <c r="AW178" s="468">
        <f t="shared" si="198"/>
        <v>0</v>
      </c>
      <c r="AX178" s="272" t="e">
        <f>SUM(U172,#REF!,U175,U178,U189,U199,U201,#REF!)</f>
        <v>#REF!</v>
      </c>
      <c r="AY178" s="272"/>
      <c r="AZ178" s="272"/>
      <c r="BA178" s="272"/>
      <c r="BB178" s="272"/>
      <c r="BC178" s="437">
        <f t="shared" si="199"/>
        <v>0</v>
      </c>
      <c r="BD178" s="437"/>
      <c r="BE178" s="649"/>
      <c r="BF178" s="649">
        <v>50000</v>
      </c>
    </row>
    <row r="179" spans="1:59" ht="53.45" customHeight="1">
      <c r="A179" s="1572"/>
      <c r="B179" s="1573"/>
      <c r="C179" s="1573"/>
      <c r="D179" s="1574">
        <v>227</v>
      </c>
      <c r="E179" s="1574"/>
      <c r="F179" s="1796" t="s">
        <v>175</v>
      </c>
      <c r="G179" s="1837" t="s">
        <v>292</v>
      </c>
      <c r="H179" s="1575"/>
      <c r="I179" s="1644">
        <v>50000</v>
      </c>
      <c r="J179" s="1575"/>
      <c r="K179" s="1576">
        <f t="shared" si="192"/>
        <v>50000</v>
      </c>
      <c r="L179" s="1577"/>
      <c r="M179" s="1361">
        <v>50000</v>
      </c>
      <c r="N179" s="1302"/>
      <c r="O179" s="1476">
        <f t="shared" si="193"/>
        <v>50000</v>
      </c>
      <c r="P179" s="1577"/>
      <c r="Q179" s="1328"/>
      <c r="R179" s="1302"/>
      <c r="S179" s="1476"/>
      <c r="T179" s="1577"/>
      <c r="U179" s="1361">
        <v>54000</v>
      </c>
      <c r="V179" s="1302"/>
      <c r="W179" s="1389">
        <f t="shared" si="194"/>
        <v>54000</v>
      </c>
      <c r="X179" s="1578">
        <f t="shared" si="162"/>
        <v>108</v>
      </c>
      <c r="Y179" s="2457"/>
      <c r="Z179" s="1136"/>
      <c r="AA179" s="1136"/>
      <c r="AB179" s="1293">
        <f t="shared" si="148"/>
        <v>0</v>
      </c>
      <c r="AC179" s="1293">
        <f t="shared" si="157"/>
        <v>0</v>
      </c>
      <c r="AD179" s="1293">
        <f t="shared" si="163"/>
        <v>4000</v>
      </c>
      <c r="AE179" s="1293">
        <f t="shared" si="154"/>
        <v>0</v>
      </c>
      <c r="AF179" s="1294"/>
      <c r="AG179" s="1294"/>
      <c r="AH179" s="1294">
        <f t="shared" si="155"/>
        <v>0</v>
      </c>
      <c r="AI179" s="1294">
        <f t="shared" si="191"/>
        <v>0</v>
      </c>
      <c r="AJ179" s="1293">
        <f t="shared" si="164"/>
        <v>0</v>
      </c>
      <c r="AK179" s="1294"/>
      <c r="AL179" s="1294"/>
      <c r="AM179" s="1294"/>
      <c r="AN179" s="1294"/>
      <c r="AO179" s="1294"/>
      <c r="AP179" s="1294"/>
      <c r="AQ179" s="1294"/>
      <c r="AR179" s="1294">
        <f t="shared" si="195"/>
        <v>0</v>
      </c>
      <c r="AS179" s="1136"/>
      <c r="AT179" s="668">
        <f t="shared" si="196"/>
        <v>0</v>
      </c>
      <c r="AU179" s="463"/>
      <c r="AV179" s="468">
        <f t="shared" si="197"/>
        <v>0</v>
      </c>
      <c r="AW179" s="468">
        <f t="shared" si="198"/>
        <v>60000</v>
      </c>
      <c r="AX179" s="272"/>
      <c r="AY179" s="272"/>
      <c r="AZ179" s="272"/>
      <c r="BA179" s="272"/>
      <c r="BB179" s="272"/>
      <c r="BC179" s="437">
        <f t="shared" si="199"/>
        <v>0</v>
      </c>
      <c r="BD179" s="437"/>
      <c r="BE179" s="650">
        <v>50000</v>
      </c>
      <c r="BF179" s="651"/>
    </row>
    <row r="180" spans="1:59" ht="53.45" customHeight="1">
      <c r="A180" s="1572"/>
      <c r="B180" s="1573"/>
      <c r="C180" s="1573"/>
      <c r="D180" s="1574">
        <v>226</v>
      </c>
      <c r="E180" s="1574"/>
      <c r="F180" s="1796" t="s">
        <v>293</v>
      </c>
      <c r="G180" s="1855" t="s">
        <v>294</v>
      </c>
      <c r="H180" s="1575"/>
      <c r="I180" s="1575">
        <v>50000</v>
      </c>
      <c r="J180" s="1575"/>
      <c r="K180" s="1576">
        <f t="shared" si="192"/>
        <v>50000</v>
      </c>
      <c r="L180" s="1577"/>
      <c r="M180" s="1358">
        <v>50000</v>
      </c>
      <c r="N180" s="1302"/>
      <c r="O180" s="1476">
        <f t="shared" si="193"/>
        <v>50000</v>
      </c>
      <c r="P180" s="1577"/>
      <c r="Q180" s="1328">
        <v>75000</v>
      </c>
      <c r="R180" s="1302"/>
      <c r="S180" s="1476">
        <v>75000</v>
      </c>
      <c r="T180" s="1577"/>
      <c r="U180" s="1357">
        <v>110000</v>
      </c>
      <c r="V180" s="1302"/>
      <c r="W180" s="1389">
        <f t="shared" si="194"/>
        <v>110000</v>
      </c>
      <c r="X180" s="1578">
        <f t="shared" si="162"/>
        <v>220.00000000000003</v>
      </c>
      <c r="Y180" s="2457"/>
      <c r="Z180" s="1136"/>
      <c r="AA180" s="1136"/>
      <c r="AB180" s="1293">
        <f t="shared" si="148"/>
        <v>0</v>
      </c>
      <c r="AC180" s="1293">
        <f t="shared" si="157"/>
        <v>0</v>
      </c>
      <c r="AD180" s="1293">
        <f t="shared" si="163"/>
        <v>60000</v>
      </c>
      <c r="AE180" s="1293">
        <f t="shared" si="154"/>
        <v>0</v>
      </c>
      <c r="AF180" s="1294"/>
      <c r="AG180" s="1294"/>
      <c r="AH180" s="1294">
        <f t="shared" si="155"/>
        <v>0</v>
      </c>
      <c r="AI180" s="1294">
        <f t="shared" si="191"/>
        <v>0</v>
      </c>
      <c r="AJ180" s="1293">
        <f t="shared" si="164"/>
        <v>0</v>
      </c>
      <c r="AK180" s="1294"/>
      <c r="AL180" s="1294"/>
      <c r="AM180" s="1294"/>
      <c r="AN180" s="1294"/>
      <c r="AO180" s="1294"/>
      <c r="AP180" s="1294"/>
      <c r="AQ180" s="1294"/>
      <c r="AR180" s="1294">
        <f t="shared" si="195"/>
        <v>0</v>
      </c>
      <c r="AS180" s="1136"/>
      <c r="AT180" s="668">
        <f t="shared" si="196"/>
        <v>0</v>
      </c>
      <c r="AU180" s="463"/>
      <c r="AV180" s="468">
        <f t="shared" si="197"/>
        <v>0</v>
      </c>
      <c r="AW180" s="468">
        <f t="shared" si="198"/>
        <v>100000</v>
      </c>
      <c r="AX180" s="272"/>
      <c r="AY180" s="272"/>
      <c r="AZ180" s="272"/>
      <c r="BA180" s="272"/>
      <c r="BB180" s="272"/>
      <c r="BC180" s="437">
        <f t="shared" si="199"/>
        <v>0</v>
      </c>
      <c r="BD180" s="437"/>
      <c r="BE180" s="579">
        <v>50000</v>
      </c>
      <c r="BF180" s="577"/>
    </row>
    <row r="181" spans="1:59" ht="53.45" customHeight="1">
      <c r="A181" s="1572"/>
      <c r="B181" s="1573"/>
      <c r="C181" s="1573"/>
      <c r="D181" s="1574">
        <v>226</v>
      </c>
      <c r="E181" s="1574"/>
      <c r="F181" s="1796" t="s">
        <v>295</v>
      </c>
      <c r="G181" s="1855" t="s">
        <v>296</v>
      </c>
      <c r="H181" s="1575"/>
      <c r="I181" s="1644">
        <v>200000</v>
      </c>
      <c r="J181" s="1575"/>
      <c r="K181" s="1576">
        <f t="shared" si="192"/>
        <v>200000</v>
      </c>
      <c r="L181" s="1577"/>
      <c r="M181" s="1357">
        <v>50000</v>
      </c>
      <c r="N181" s="1302"/>
      <c r="O181" s="1476">
        <f t="shared" si="193"/>
        <v>50000</v>
      </c>
      <c r="P181" s="1577"/>
      <c r="Q181" s="1328"/>
      <c r="R181" s="1302"/>
      <c r="S181" s="1476"/>
      <c r="T181" s="1577"/>
      <c r="U181" s="1328"/>
      <c r="V181" s="1302"/>
      <c r="W181" s="1389">
        <f t="shared" si="194"/>
        <v>0</v>
      </c>
      <c r="X181" s="1578">
        <f t="shared" si="162"/>
        <v>0</v>
      </c>
      <c r="Y181" s="2457"/>
      <c r="Z181" s="1136"/>
      <c r="AA181" s="1136"/>
      <c r="AB181" s="1293">
        <f t="shared" si="148"/>
        <v>0</v>
      </c>
      <c r="AC181" s="1293">
        <f t="shared" si="157"/>
        <v>0</v>
      </c>
      <c r="AD181" s="1293">
        <f t="shared" si="163"/>
        <v>-50000</v>
      </c>
      <c r="AE181" s="1293">
        <f t="shared" si="154"/>
        <v>0</v>
      </c>
      <c r="AF181" s="1294"/>
      <c r="AG181" s="1294"/>
      <c r="AH181" s="1294">
        <f t="shared" si="155"/>
        <v>0</v>
      </c>
      <c r="AI181" s="1294">
        <f t="shared" si="191"/>
        <v>0</v>
      </c>
      <c r="AJ181" s="1293">
        <f t="shared" si="164"/>
        <v>0</v>
      </c>
      <c r="AK181" s="1294"/>
      <c r="AL181" s="1294"/>
      <c r="AM181" s="1294"/>
      <c r="AN181" s="1294"/>
      <c r="AO181" s="1294"/>
      <c r="AP181" s="1294"/>
      <c r="AQ181" s="1294"/>
      <c r="AR181" s="1294">
        <f t="shared" si="195"/>
        <v>0</v>
      </c>
      <c r="AS181" s="1136"/>
      <c r="AT181" s="668">
        <f t="shared" si="196"/>
        <v>0</v>
      </c>
      <c r="AU181" s="463"/>
      <c r="AV181" s="468">
        <f t="shared" si="197"/>
        <v>0</v>
      </c>
      <c r="AW181" s="468">
        <f t="shared" si="198"/>
        <v>0</v>
      </c>
      <c r="AX181" s="272"/>
      <c r="AY181" s="272"/>
      <c r="AZ181" s="272"/>
      <c r="BA181" s="272"/>
      <c r="BB181" s="272"/>
      <c r="BC181" s="437">
        <f t="shared" si="199"/>
        <v>0</v>
      </c>
      <c r="BD181" s="437"/>
      <c r="BE181" s="649"/>
      <c r="BF181" s="648">
        <v>50000</v>
      </c>
    </row>
    <row r="182" spans="1:59" ht="53.45" customHeight="1">
      <c r="A182" s="1572"/>
      <c r="B182" s="1573"/>
      <c r="C182" s="1573"/>
      <c r="D182" s="1574">
        <v>226</v>
      </c>
      <c r="E182" s="1574"/>
      <c r="F182" s="1796" t="s">
        <v>222</v>
      </c>
      <c r="G182" s="1837" t="s">
        <v>297</v>
      </c>
      <c r="H182" s="1575"/>
      <c r="I182" s="1644">
        <v>75000</v>
      </c>
      <c r="J182" s="1575"/>
      <c r="K182" s="1576">
        <f t="shared" si="192"/>
        <v>75000</v>
      </c>
      <c r="L182" s="1577"/>
      <c r="M182" s="1357">
        <v>75000</v>
      </c>
      <c r="N182" s="1302"/>
      <c r="O182" s="1476">
        <f t="shared" si="193"/>
        <v>75000</v>
      </c>
      <c r="P182" s="1577"/>
      <c r="Q182" s="1328">
        <v>37000</v>
      </c>
      <c r="R182" s="1302"/>
      <c r="S182" s="1476">
        <v>37000</v>
      </c>
      <c r="T182" s="1577"/>
      <c r="U182" s="1357">
        <v>75000</v>
      </c>
      <c r="V182" s="1302"/>
      <c r="W182" s="1389">
        <f t="shared" si="194"/>
        <v>75000</v>
      </c>
      <c r="X182" s="1578">
        <f t="shared" si="162"/>
        <v>100</v>
      </c>
      <c r="Y182" s="2457"/>
      <c r="Z182" s="1136"/>
      <c r="AA182" s="1136"/>
      <c r="AB182" s="1293">
        <f t="shared" si="148"/>
        <v>0</v>
      </c>
      <c r="AC182" s="1293">
        <f t="shared" si="157"/>
        <v>0</v>
      </c>
      <c r="AD182" s="1293">
        <f t="shared" si="163"/>
        <v>0</v>
      </c>
      <c r="AE182" s="1293">
        <f t="shared" si="154"/>
        <v>0</v>
      </c>
      <c r="AF182" s="1294"/>
      <c r="AG182" s="1294"/>
      <c r="AH182" s="1294">
        <f t="shared" si="155"/>
        <v>0</v>
      </c>
      <c r="AI182" s="1294">
        <f t="shared" si="191"/>
        <v>0</v>
      </c>
      <c r="AJ182" s="1293">
        <f t="shared" si="164"/>
        <v>0</v>
      </c>
      <c r="AK182" s="1294"/>
      <c r="AL182" s="1294"/>
      <c r="AM182" s="1294"/>
      <c r="AN182" s="1294"/>
      <c r="AO182" s="1294"/>
      <c r="AP182" s="1294"/>
      <c r="AQ182" s="1294"/>
      <c r="AR182" s="1294">
        <f t="shared" si="195"/>
        <v>0</v>
      </c>
      <c r="AS182" s="1136"/>
      <c r="AT182" s="668">
        <f t="shared" si="196"/>
        <v>0</v>
      </c>
      <c r="AU182" s="463"/>
      <c r="AV182" s="468">
        <f t="shared" si="197"/>
        <v>0</v>
      </c>
      <c r="AW182" s="468">
        <f t="shared" si="198"/>
        <v>54000</v>
      </c>
      <c r="AX182" s="272"/>
      <c r="AY182" s="272"/>
      <c r="AZ182" s="272"/>
      <c r="BA182" s="272"/>
      <c r="BB182" s="272"/>
      <c r="BC182" s="437">
        <f t="shared" si="199"/>
        <v>0</v>
      </c>
      <c r="BD182" s="437"/>
      <c r="BE182" s="647">
        <v>75000</v>
      </c>
      <c r="BF182" s="648"/>
    </row>
    <row r="183" spans="1:59" ht="53.45" customHeight="1">
      <c r="A183" s="1572"/>
      <c r="B183" s="1573"/>
      <c r="C183" s="1573"/>
      <c r="D183" s="1574">
        <v>227</v>
      </c>
      <c r="E183" s="1574"/>
      <c r="F183" s="1796" t="s">
        <v>222</v>
      </c>
      <c r="G183" s="1837" t="s">
        <v>298</v>
      </c>
      <c r="H183" s="1575"/>
      <c r="I183" s="1644">
        <v>32000</v>
      </c>
      <c r="J183" s="1575"/>
      <c r="K183" s="1576">
        <f t="shared" si="192"/>
        <v>32000</v>
      </c>
      <c r="L183" s="1577"/>
      <c r="M183" s="1361">
        <v>27000</v>
      </c>
      <c r="N183" s="1302"/>
      <c r="O183" s="1476">
        <f t="shared" si="193"/>
        <v>27000</v>
      </c>
      <c r="P183" s="1577"/>
      <c r="Q183" s="1328">
        <v>6000</v>
      </c>
      <c r="R183" s="1302"/>
      <c r="S183" s="1476">
        <v>6000</v>
      </c>
      <c r="T183" s="1577"/>
      <c r="U183" s="1361">
        <v>50000</v>
      </c>
      <c r="V183" s="1302"/>
      <c r="W183" s="1389">
        <f t="shared" si="194"/>
        <v>50000</v>
      </c>
      <c r="X183" s="1578">
        <f t="shared" si="162"/>
        <v>185.18518518518519</v>
      </c>
      <c r="Y183" s="2457"/>
      <c r="Z183" s="1136"/>
      <c r="AA183" s="1136"/>
      <c r="AB183" s="1293">
        <f t="shared" si="148"/>
        <v>0</v>
      </c>
      <c r="AC183" s="1293">
        <f t="shared" si="157"/>
        <v>0</v>
      </c>
      <c r="AD183" s="1293">
        <f t="shared" si="163"/>
        <v>23000</v>
      </c>
      <c r="AE183" s="1293">
        <f t="shared" si="154"/>
        <v>0</v>
      </c>
      <c r="AF183" s="1294"/>
      <c r="AG183" s="1294"/>
      <c r="AH183" s="1294">
        <f t="shared" si="155"/>
        <v>0</v>
      </c>
      <c r="AI183" s="1294">
        <f t="shared" si="191"/>
        <v>0</v>
      </c>
      <c r="AJ183" s="1293">
        <f t="shared" si="164"/>
        <v>0</v>
      </c>
      <c r="AK183" s="1294"/>
      <c r="AL183" s="1294"/>
      <c r="AM183" s="1294"/>
      <c r="AN183" s="1294"/>
      <c r="AO183" s="1294"/>
      <c r="AP183" s="1294"/>
      <c r="AQ183" s="1294"/>
      <c r="AR183" s="1294">
        <f t="shared" si="195"/>
        <v>0</v>
      </c>
      <c r="AS183" s="1136"/>
      <c r="AT183" s="668">
        <f t="shared" si="196"/>
        <v>0</v>
      </c>
      <c r="AU183" s="463"/>
      <c r="AV183" s="468">
        <f t="shared" si="197"/>
        <v>0</v>
      </c>
      <c r="AW183" s="468">
        <f t="shared" si="198"/>
        <v>110000</v>
      </c>
      <c r="AX183" s="272"/>
      <c r="AY183" s="272"/>
      <c r="AZ183" s="272"/>
      <c r="BA183" s="272"/>
      <c r="BB183" s="272"/>
      <c r="BC183" s="437">
        <f t="shared" si="199"/>
        <v>0</v>
      </c>
      <c r="BD183" s="437"/>
      <c r="BE183" s="650">
        <v>27000</v>
      </c>
      <c r="BF183" s="651"/>
    </row>
    <row r="184" spans="1:59" ht="53.45" customHeight="1">
      <c r="A184" s="1572"/>
      <c r="B184" s="1573"/>
      <c r="C184" s="1573"/>
      <c r="D184" s="1574">
        <v>227</v>
      </c>
      <c r="E184" s="1574"/>
      <c r="F184" s="1796">
        <v>613814</v>
      </c>
      <c r="G184" s="1837" t="s">
        <v>685</v>
      </c>
      <c r="H184" s="1575"/>
      <c r="I184" s="1644">
        <v>6000</v>
      </c>
      <c r="J184" s="1575"/>
      <c r="K184" s="1576">
        <f t="shared" si="192"/>
        <v>6000</v>
      </c>
      <c r="L184" s="1577"/>
      <c r="M184" s="1361">
        <v>6000</v>
      </c>
      <c r="N184" s="1302"/>
      <c r="O184" s="1476">
        <f t="shared" si="193"/>
        <v>6000</v>
      </c>
      <c r="P184" s="1577"/>
      <c r="Q184" s="1328">
        <v>20000</v>
      </c>
      <c r="R184" s="1302"/>
      <c r="S184" s="1476">
        <v>20000</v>
      </c>
      <c r="T184" s="1577"/>
      <c r="U184" s="1361">
        <v>6000</v>
      </c>
      <c r="V184" s="1302"/>
      <c r="W184" s="1389">
        <f t="shared" si="194"/>
        <v>6000</v>
      </c>
      <c r="X184" s="1578">
        <f t="shared" si="162"/>
        <v>100</v>
      </c>
      <c r="Y184" s="2457"/>
      <c r="Z184" s="1136"/>
      <c r="AA184" s="1136"/>
      <c r="AB184" s="1293">
        <f t="shared" si="148"/>
        <v>0</v>
      </c>
      <c r="AC184" s="1293">
        <f t="shared" si="157"/>
        <v>0</v>
      </c>
      <c r="AD184" s="1293">
        <f t="shared" si="163"/>
        <v>0</v>
      </c>
      <c r="AE184" s="1293">
        <f t="shared" si="154"/>
        <v>0</v>
      </c>
      <c r="AF184" s="1294"/>
      <c r="AG184" s="1294"/>
      <c r="AH184" s="1294">
        <f t="shared" si="155"/>
        <v>0</v>
      </c>
      <c r="AI184" s="1294">
        <f t="shared" si="191"/>
        <v>0</v>
      </c>
      <c r="AJ184" s="1293">
        <f t="shared" si="164"/>
        <v>0</v>
      </c>
      <c r="AK184" s="1294"/>
      <c r="AL184" s="1294"/>
      <c r="AM184" s="1294"/>
      <c r="AN184" s="1294"/>
      <c r="AO184" s="1294"/>
      <c r="AP184" s="1294"/>
      <c r="AQ184" s="1294"/>
      <c r="AR184" s="1294">
        <f t="shared" si="195"/>
        <v>0</v>
      </c>
      <c r="AS184" s="1136"/>
      <c r="AT184" s="668">
        <f t="shared" si="196"/>
        <v>0</v>
      </c>
      <c r="AU184" s="463"/>
      <c r="AV184" s="468">
        <f t="shared" si="197"/>
        <v>0</v>
      </c>
      <c r="AW184" s="468">
        <f t="shared" si="198"/>
        <v>0</v>
      </c>
      <c r="AX184" s="272"/>
      <c r="AY184" s="272"/>
      <c r="AZ184" s="272"/>
      <c r="BA184" s="272"/>
      <c r="BB184" s="272"/>
      <c r="BC184" s="437">
        <f t="shared" si="199"/>
        <v>0</v>
      </c>
      <c r="BD184" s="437"/>
      <c r="BE184" s="650">
        <v>6000</v>
      </c>
      <c r="BF184" s="651"/>
    </row>
    <row r="185" spans="1:59" ht="53.45" customHeight="1">
      <c r="A185" s="1572"/>
      <c r="B185" s="1573"/>
      <c r="C185" s="1573"/>
      <c r="D185" s="1378"/>
      <c r="E185" s="1378" t="s">
        <v>285</v>
      </c>
      <c r="F185" s="1795">
        <v>613900</v>
      </c>
      <c r="G185" s="1840" t="s">
        <v>180</v>
      </c>
      <c r="H185" s="1380">
        <f t="shared" ref="H185:K185" si="200">SUM(H186:H194)</f>
        <v>0</v>
      </c>
      <c r="I185" s="1380">
        <f t="shared" si="200"/>
        <v>207000</v>
      </c>
      <c r="J185" s="1380">
        <f t="shared" si="200"/>
        <v>0</v>
      </c>
      <c r="K185" s="1642">
        <f t="shared" si="200"/>
        <v>207000</v>
      </c>
      <c r="L185" s="1601">
        <f>SUM(L186:L194)</f>
        <v>0</v>
      </c>
      <c r="M185" s="1303">
        <f>SUM(M186:M194)</f>
        <v>192000</v>
      </c>
      <c r="N185" s="1304">
        <f>SUM(N186:N194)</f>
        <v>0</v>
      </c>
      <c r="O185" s="1477">
        <f>SUM(O186:O194)</f>
        <v>192000</v>
      </c>
      <c r="P185" s="1601">
        <f>SUM(P186:P193)</f>
        <v>0</v>
      </c>
      <c r="Q185" s="1303">
        <f>SUM(Q186:Q193)</f>
        <v>325000</v>
      </c>
      <c r="R185" s="1304">
        <f>SUM(R186:R193)</f>
        <v>0</v>
      </c>
      <c r="S185" s="1477">
        <f>SUM(Q186:Q193)</f>
        <v>325000</v>
      </c>
      <c r="T185" s="1601">
        <f>SUM(T186:T196)</f>
        <v>0</v>
      </c>
      <c r="U185" s="1303">
        <f>SUM(U186:U194)</f>
        <v>222000</v>
      </c>
      <c r="V185" s="1304">
        <f>SUM(V186:V196)</f>
        <v>0</v>
      </c>
      <c r="W185" s="1327">
        <f>SUM(W186:W194)</f>
        <v>222000</v>
      </c>
      <c r="X185" s="1578">
        <f t="shared" si="162"/>
        <v>115.625</v>
      </c>
      <c r="Y185" s="2457"/>
      <c r="Z185" s="1136"/>
      <c r="AA185" s="1136">
        <f>'[9]PRIH REBALANS'!$AK$512</f>
        <v>222000</v>
      </c>
      <c r="AB185" s="1293">
        <f t="shared" si="148"/>
        <v>0</v>
      </c>
      <c r="AC185" s="1293">
        <f t="shared" si="157"/>
        <v>0</v>
      </c>
      <c r="AD185" s="1293">
        <f t="shared" si="163"/>
        <v>30000</v>
      </c>
      <c r="AE185" s="1293">
        <f t="shared" si="154"/>
        <v>0</v>
      </c>
      <c r="AF185" s="1294"/>
      <c r="AG185" s="1294"/>
      <c r="AH185" s="1294">
        <f t="shared" si="155"/>
        <v>0</v>
      </c>
      <c r="AI185" s="1294">
        <f t="shared" si="191"/>
        <v>0</v>
      </c>
      <c r="AJ185" s="1293">
        <f t="shared" si="164"/>
        <v>0</v>
      </c>
      <c r="AK185" s="1294"/>
      <c r="AL185" s="1294"/>
      <c r="AM185" s="1294"/>
      <c r="AN185" s="1294"/>
      <c r="AO185" s="1294"/>
      <c r="AP185" s="1294"/>
      <c r="AQ185" s="1294"/>
      <c r="AR185" s="1294">
        <f t="shared" si="195"/>
        <v>0</v>
      </c>
      <c r="AS185" s="1136">
        <f>SUM(W183:W191)</f>
        <v>438000</v>
      </c>
      <c r="AT185" s="668">
        <f t="shared" si="196"/>
        <v>0</v>
      </c>
      <c r="AU185" s="463">
        <f>SUM(W183:W191)</f>
        <v>438000</v>
      </c>
      <c r="AV185" s="468">
        <f t="shared" si="197"/>
        <v>0</v>
      </c>
      <c r="AW185" s="468">
        <f t="shared" si="198"/>
        <v>75000</v>
      </c>
      <c r="AX185" s="463"/>
      <c r="AY185" s="463"/>
      <c r="AZ185" s="463"/>
      <c r="BA185" s="463"/>
      <c r="BB185" s="463"/>
      <c r="BC185" s="437">
        <f>'[2]PRIH REBALANS'!$AK$531</f>
        <v>192000</v>
      </c>
      <c r="BD185" s="437"/>
      <c r="BE185" s="427">
        <f>SUM(BE186:BE194)</f>
        <v>142000</v>
      </c>
      <c r="BF185" s="427">
        <f>SUM(BF186:BF194)</f>
        <v>50000</v>
      </c>
      <c r="BG185" s="209">
        <f>SUM(W183:W191)</f>
        <v>438000</v>
      </c>
    </row>
    <row r="186" spans="1:59" ht="53.45" customHeight="1">
      <c r="A186" s="1572"/>
      <c r="B186" s="1573"/>
      <c r="C186" s="1573"/>
      <c r="D186" s="1574">
        <v>227</v>
      </c>
      <c r="E186" s="1574"/>
      <c r="F186" s="1796" t="s">
        <v>299</v>
      </c>
      <c r="G186" s="1837" t="s">
        <v>686</v>
      </c>
      <c r="H186" s="1575"/>
      <c r="I186" s="1645">
        <v>20000</v>
      </c>
      <c r="J186" s="1575"/>
      <c r="K186" s="1576">
        <f t="shared" ref="K186:K201" si="201">SUM(H186:J186)</f>
        <v>20000</v>
      </c>
      <c r="L186" s="1577"/>
      <c r="M186" s="1646">
        <v>15000</v>
      </c>
      <c r="N186" s="1302"/>
      <c r="O186" s="1476">
        <f>SUM(L186:N186)</f>
        <v>15000</v>
      </c>
      <c r="P186" s="1577"/>
      <c r="Q186" s="1329">
        <v>100000</v>
      </c>
      <c r="R186" s="1302"/>
      <c r="S186" s="1476">
        <v>100000</v>
      </c>
      <c r="T186" s="1577"/>
      <c r="U186" s="2274">
        <v>20000</v>
      </c>
      <c r="V186" s="1302"/>
      <c r="W186" s="1482">
        <f>SUM(T186:V186)</f>
        <v>20000</v>
      </c>
      <c r="X186" s="1578">
        <f t="shared" si="162"/>
        <v>133.33333333333331</v>
      </c>
      <c r="Y186" s="2457"/>
      <c r="Z186" s="1136"/>
      <c r="AA186" s="1136"/>
      <c r="AB186" s="1293">
        <f t="shared" si="148"/>
        <v>0</v>
      </c>
      <c r="AC186" s="1293">
        <f t="shared" si="157"/>
        <v>0</v>
      </c>
      <c r="AD186" s="1293">
        <f t="shared" si="163"/>
        <v>5000</v>
      </c>
      <c r="AE186" s="1293">
        <f t="shared" si="154"/>
        <v>0</v>
      </c>
      <c r="AF186" s="1294"/>
      <c r="AG186" s="1294"/>
      <c r="AH186" s="1294">
        <f t="shared" si="155"/>
        <v>0</v>
      </c>
      <c r="AI186" s="1294">
        <f t="shared" si="191"/>
        <v>0</v>
      </c>
      <c r="AJ186" s="1293">
        <f t="shared" si="164"/>
        <v>0</v>
      </c>
      <c r="AK186" s="1294"/>
      <c r="AL186" s="1294"/>
      <c r="AM186" s="1294"/>
      <c r="AN186" s="1294"/>
      <c r="AO186" s="1294"/>
      <c r="AP186" s="1294"/>
      <c r="AQ186" s="1294"/>
      <c r="AR186" s="1294">
        <f t="shared" si="195"/>
        <v>0</v>
      </c>
      <c r="AS186" s="1136"/>
      <c r="AT186" s="668">
        <f t="shared" si="196"/>
        <v>0</v>
      </c>
      <c r="AU186" s="463"/>
      <c r="AV186" s="468">
        <f t="shared" si="197"/>
        <v>0</v>
      </c>
      <c r="AW186" s="468">
        <f t="shared" si="198"/>
        <v>50000</v>
      </c>
      <c r="AX186" s="272"/>
      <c r="AY186" s="272"/>
      <c r="AZ186" s="272"/>
      <c r="BA186" s="272"/>
      <c r="BB186" s="272"/>
      <c r="BC186" s="437">
        <f>T183+U183+V183+-W183</f>
        <v>0</v>
      </c>
      <c r="BD186" s="437"/>
      <c r="BE186" s="652">
        <v>15000</v>
      </c>
      <c r="BF186" s="653"/>
    </row>
    <row r="187" spans="1:59" ht="53.45" customHeight="1">
      <c r="A187" s="1572"/>
      <c r="B187" s="1573"/>
      <c r="C187" s="1573"/>
      <c r="D187" s="1574" t="s">
        <v>492</v>
      </c>
      <c r="E187" s="1574"/>
      <c r="F187" s="1796"/>
      <c r="G187" s="1837" t="s">
        <v>1480</v>
      </c>
      <c r="H187" s="1575"/>
      <c r="I187" s="1645"/>
      <c r="J187" s="1575"/>
      <c r="K187" s="1576"/>
      <c r="L187" s="1577"/>
      <c r="M187" s="1647">
        <v>20000</v>
      </c>
      <c r="N187" s="1302"/>
      <c r="O187" s="1476">
        <f>SUM(L187:N187)</f>
        <v>20000</v>
      </c>
      <c r="P187" s="1577"/>
      <c r="Q187" s="1328">
        <v>80000</v>
      </c>
      <c r="R187" s="1302"/>
      <c r="S187" s="1476">
        <v>80000</v>
      </c>
      <c r="T187" s="1577"/>
      <c r="U187" s="2275">
        <v>80000</v>
      </c>
      <c r="V187" s="1302"/>
      <c r="W187" s="1482">
        <f t="shared" ref="W187:W194" si="202">SUM(T187:V187)</f>
        <v>80000</v>
      </c>
      <c r="X187" s="1578">
        <f t="shared" si="162"/>
        <v>400</v>
      </c>
      <c r="Y187" s="2457"/>
      <c r="Z187" s="1136"/>
      <c r="AA187" s="1136"/>
      <c r="AB187" s="1293">
        <f t="shared" si="148"/>
        <v>0</v>
      </c>
      <c r="AC187" s="1293">
        <f t="shared" si="157"/>
        <v>0</v>
      </c>
      <c r="AD187" s="1293">
        <f t="shared" si="163"/>
        <v>60000</v>
      </c>
      <c r="AE187" s="1293">
        <f t="shared" si="154"/>
        <v>0</v>
      </c>
      <c r="AF187" s="1294"/>
      <c r="AG187" s="1294"/>
      <c r="AH187" s="1294">
        <f t="shared" si="155"/>
        <v>0</v>
      </c>
      <c r="AI187" s="1294">
        <f t="shared" si="191"/>
        <v>0</v>
      </c>
      <c r="AJ187" s="1293">
        <f t="shared" si="164"/>
        <v>0</v>
      </c>
      <c r="AK187" s="1294"/>
      <c r="AL187" s="1294"/>
      <c r="AM187" s="1294"/>
      <c r="AN187" s="1294"/>
      <c r="AO187" s="1294"/>
      <c r="AP187" s="1294"/>
      <c r="AQ187" s="1294"/>
      <c r="AR187" s="1294">
        <f t="shared" si="195"/>
        <v>0</v>
      </c>
      <c r="AS187" s="1136"/>
      <c r="AT187" s="668">
        <f t="shared" si="196"/>
        <v>0</v>
      </c>
      <c r="AU187" s="463"/>
      <c r="AV187" s="468">
        <f t="shared" si="197"/>
        <v>0</v>
      </c>
      <c r="AW187" s="468">
        <f t="shared" si="198"/>
        <v>6000</v>
      </c>
      <c r="AX187" s="272"/>
      <c r="AY187" s="272"/>
      <c r="AZ187" s="272"/>
      <c r="BA187" s="272"/>
      <c r="BB187" s="272"/>
      <c r="BC187" s="437"/>
      <c r="BD187" s="437"/>
      <c r="BE187" s="652"/>
      <c r="BF187" s="653"/>
    </row>
    <row r="188" spans="1:59" ht="53.45" customHeight="1">
      <c r="A188" s="1572"/>
      <c r="B188" s="1573"/>
      <c r="C188" s="1573"/>
      <c r="D188" s="1574">
        <v>226</v>
      </c>
      <c r="E188" s="1574"/>
      <c r="F188" s="1796">
        <v>613970</v>
      </c>
      <c r="G188" s="1838" t="s">
        <v>300</v>
      </c>
      <c r="H188" s="1575"/>
      <c r="I188" s="1644">
        <v>20000</v>
      </c>
      <c r="J188" s="1575"/>
      <c r="K188" s="1576">
        <f t="shared" si="201"/>
        <v>20000</v>
      </c>
      <c r="L188" s="1577"/>
      <c r="M188" s="1357">
        <v>20000</v>
      </c>
      <c r="N188" s="1302"/>
      <c r="O188" s="1476">
        <f>SUM(L188:N188)</f>
        <v>20000</v>
      </c>
      <c r="P188" s="1577"/>
      <c r="Q188" s="1328"/>
      <c r="R188" s="1302"/>
      <c r="S188" s="1476"/>
      <c r="T188" s="1577"/>
      <c r="U188" s="1360">
        <v>20000</v>
      </c>
      <c r="V188" s="1302"/>
      <c r="W188" s="1482">
        <f t="shared" si="202"/>
        <v>20000</v>
      </c>
      <c r="X188" s="1578">
        <f t="shared" si="162"/>
        <v>100</v>
      </c>
      <c r="Y188" s="2457"/>
      <c r="Z188" s="1136"/>
      <c r="AA188" s="1136"/>
      <c r="AB188" s="1293">
        <f t="shared" si="148"/>
        <v>0</v>
      </c>
      <c r="AC188" s="1293">
        <f t="shared" si="157"/>
        <v>0</v>
      </c>
      <c r="AD188" s="1293">
        <f t="shared" si="163"/>
        <v>0</v>
      </c>
      <c r="AE188" s="1293">
        <f t="shared" si="154"/>
        <v>0</v>
      </c>
      <c r="AF188" s="1294"/>
      <c r="AG188" s="1294"/>
      <c r="AH188" s="1294">
        <f t="shared" si="155"/>
        <v>0</v>
      </c>
      <c r="AI188" s="1294">
        <f t="shared" si="191"/>
        <v>0</v>
      </c>
      <c r="AJ188" s="1293">
        <f t="shared" si="164"/>
        <v>0</v>
      </c>
      <c r="AK188" s="1294"/>
      <c r="AL188" s="1294"/>
      <c r="AM188" s="1294"/>
      <c r="AN188" s="1294"/>
      <c r="AO188" s="1294"/>
      <c r="AP188" s="1294"/>
      <c r="AQ188" s="1294"/>
      <c r="AR188" s="1294">
        <f t="shared" si="195"/>
        <v>0</v>
      </c>
      <c r="AS188" s="1136"/>
      <c r="AT188" s="668">
        <f t="shared" si="196"/>
        <v>0</v>
      </c>
      <c r="AU188" s="463"/>
      <c r="AV188" s="468">
        <f t="shared" si="197"/>
        <v>0</v>
      </c>
      <c r="AW188" s="468">
        <f t="shared" si="198"/>
        <v>222000</v>
      </c>
      <c r="AX188" s="272"/>
      <c r="AY188" s="272"/>
      <c r="AZ188" s="272"/>
      <c r="BA188" s="272"/>
      <c r="BB188" s="272"/>
      <c r="BC188" s="437">
        <f t="shared" ref="BC188:BC194" si="203">T185+U185+V185+-W185</f>
        <v>0</v>
      </c>
      <c r="BD188" s="437"/>
      <c r="BE188" s="654">
        <v>20000</v>
      </c>
      <c r="BF188" s="653"/>
    </row>
    <row r="189" spans="1:59" ht="53.45" customHeight="1">
      <c r="A189" s="1572"/>
      <c r="B189" s="1573"/>
      <c r="C189" s="1573"/>
      <c r="D189" s="1574">
        <v>226</v>
      </c>
      <c r="E189" s="1574"/>
      <c r="F189" s="1796" t="s">
        <v>237</v>
      </c>
      <c r="G189" s="1838" t="s">
        <v>687</v>
      </c>
      <c r="H189" s="1575"/>
      <c r="I189" s="1644">
        <v>40000</v>
      </c>
      <c r="J189" s="1575"/>
      <c r="K189" s="1576">
        <f t="shared" si="201"/>
        <v>40000</v>
      </c>
      <c r="L189" s="1577"/>
      <c r="M189" s="1357">
        <v>60000</v>
      </c>
      <c r="N189" s="1302"/>
      <c r="O189" s="1476">
        <f t="shared" ref="O189:O201" si="204">SUM(L189:N189)</f>
        <v>60000</v>
      </c>
      <c r="P189" s="1577"/>
      <c r="Q189" s="1328"/>
      <c r="R189" s="1302"/>
      <c r="S189" s="1476"/>
      <c r="T189" s="1577"/>
      <c r="U189" s="1360">
        <v>20000</v>
      </c>
      <c r="V189" s="1302"/>
      <c r="W189" s="1482">
        <f t="shared" si="202"/>
        <v>20000</v>
      </c>
      <c r="X189" s="1578">
        <f t="shared" si="162"/>
        <v>33.333333333333329</v>
      </c>
      <c r="Y189" s="2457"/>
      <c r="Z189" s="1136"/>
      <c r="AA189" s="1136"/>
      <c r="AB189" s="1293">
        <f t="shared" si="148"/>
        <v>0</v>
      </c>
      <c r="AC189" s="1293">
        <f t="shared" si="157"/>
        <v>0</v>
      </c>
      <c r="AD189" s="1293">
        <f t="shared" si="163"/>
        <v>-40000</v>
      </c>
      <c r="AE189" s="1293">
        <f t="shared" si="154"/>
        <v>0</v>
      </c>
      <c r="AF189" s="1294"/>
      <c r="AG189" s="1294"/>
      <c r="AH189" s="1294">
        <f t="shared" si="155"/>
        <v>0</v>
      </c>
      <c r="AI189" s="1294">
        <f t="shared" si="191"/>
        <v>0</v>
      </c>
      <c r="AJ189" s="1293">
        <f t="shared" si="164"/>
        <v>0</v>
      </c>
      <c r="AK189" s="1294"/>
      <c r="AL189" s="1294"/>
      <c r="AM189" s="1294"/>
      <c r="AN189" s="1294"/>
      <c r="AO189" s="1294"/>
      <c r="AP189" s="1294"/>
      <c r="AQ189" s="1294"/>
      <c r="AR189" s="1294">
        <f t="shared" si="195"/>
        <v>0</v>
      </c>
      <c r="AS189" s="1136"/>
      <c r="AT189" s="668">
        <f t="shared" si="196"/>
        <v>0</v>
      </c>
      <c r="AU189" s="463"/>
      <c r="AV189" s="468">
        <f t="shared" si="197"/>
        <v>0</v>
      </c>
      <c r="AW189" s="468">
        <f t="shared" si="198"/>
        <v>20000</v>
      </c>
      <c r="AX189" s="272"/>
      <c r="AY189" s="272"/>
      <c r="AZ189" s="272"/>
      <c r="BA189" s="272"/>
      <c r="BB189" s="272"/>
      <c r="BC189" s="437">
        <f t="shared" si="203"/>
        <v>0</v>
      </c>
      <c r="BD189" s="437"/>
      <c r="BE189" s="647">
        <v>20000</v>
      </c>
      <c r="BF189" s="648"/>
    </row>
    <row r="190" spans="1:59" ht="53.45" hidden="1" customHeight="1">
      <c r="A190" s="1572"/>
      <c r="B190" s="1573"/>
      <c r="C190" s="1573"/>
      <c r="D190" s="1574"/>
      <c r="E190" s="1574"/>
      <c r="F190" s="1797"/>
      <c r="G190" s="1837"/>
      <c r="H190" s="1575"/>
      <c r="I190" s="1644"/>
      <c r="J190" s="1575"/>
      <c r="K190" s="1576"/>
      <c r="L190" s="1577"/>
      <c r="M190" s="1328"/>
      <c r="N190" s="1302"/>
      <c r="O190" s="1476">
        <f t="shared" si="204"/>
        <v>0</v>
      </c>
      <c r="P190" s="1577"/>
      <c r="Q190" s="1301"/>
      <c r="R190" s="1302"/>
      <c r="S190" s="1476"/>
      <c r="T190" s="1577"/>
      <c r="U190" s="1360"/>
      <c r="V190" s="1302"/>
      <c r="W190" s="1482">
        <f t="shared" si="202"/>
        <v>0</v>
      </c>
      <c r="X190" s="1578"/>
      <c r="Y190" s="2457"/>
      <c r="Z190" s="1136"/>
      <c r="AA190" s="1136"/>
      <c r="AB190" s="1293">
        <f t="shared" si="148"/>
        <v>0</v>
      </c>
      <c r="AC190" s="1293">
        <f t="shared" si="157"/>
        <v>0</v>
      </c>
      <c r="AD190" s="1293">
        <f t="shared" si="163"/>
        <v>0</v>
      </c>
      <c r="AE190" s="1293">
        <f t="shared" si="154"/>
        <v>0</v>
      </c>
      <c r="AF190" s="1294"/>
      <c r="AG190" s="1294"/>
      <c r="AH190" s="1294">
        <f t="shared" si="155"/>
        <v>0</v>
      </c>
      <c r="AI190" s="1294">
        <f t="shared" si="191"/>
        <v>0</v>
      </c>
      <c r="AJ190" s="1293">
        <f t="shared" si="164"/>
        <v>0</v>
      </c>
      <c r="AK190" s="1294"/>
      <c r="AL190" s="1294"/>
      <c r="AM190" s="1294"/>
      <c r="AN190" s="1294"/>
      <c r="AO190" s="1294"/>
      <c r="AP190" s="1294"/>
      <c r="AQ190" s="1294"/>
      <c r="AR190" s="1294">
        <f t="shared" si="195"/>
        <v>0</v>
      </c>
      <c r="AS190" s="1136"/>
      <c r="AT190" s="668">
        <f t="shared" si="196"/>
        <v>0</v>
      </c>
      <c r="AU190" s="463"/>
      <c r="AV190" s="468">
        <f t="shared" si="197"/>
        <v>0</v>
      </c>
      <c r="AW190" s="468">
        <f t="shared" si="198"/>
        <v>80000</v>
      </c>
      <c r="AX190" s="463"/>
      <c r="AY190" s="463"/>
      <c r="AZ190" s="463"/>
      <c r="BA190" s="463"/>
      <c r="BB190" s="463"/>
      <c r="BC190" s="437">
        <f t="shared" si="203"/>
        <v>0</v>
      </c>
      <c r="BD190" s="437"/>
      <c r="BE190" s="647">
        <v>60000</v>
      </c>
      <c r="BF190" s="648"/>
    </row>
    <row r="191" spans="1:59" ht="53.45" customHeight="1">
      <c r="A191" s="1572"/>
      <c r="B191" s="1573"/>
      <c r="C191" s="1573"/>
      <c r="D191" s="1574">
        <v>226</v>
      </c>
      <c r="E191" s="1574"/>
      <c r="F191" s="1796">
        <v>613990</v>
      </c>
      <c r="G191" s="1837" t="s">
        <v>301</v>
      </c>
      <c r="H191" s="1575"/>
      <c r="I191" s="1575">
        <v>10000</v>
      </c>
      <c r="J191" s="1575"/>
      <c r="K191" s="1576">
        <f t="shared" si="201"/>
        <v>10000</v>
      </c>
      <c r="L191" s="1577"/>
      <c r="M191" s="1358">
        <v>10000</v>
      </c>
      <c r="N191" s="1302"/>
      <c r="O191" s="1476">
        <f t="shared" si="204"/>
        <v>10000</v>
      </c>
      <c r="P191" s="1577"/>
      <c r="Q191" s="1328"/>
      <c r="R191" s="1302"/>
      <c r="S191" s="1476"/>
      <c r="T191" s="1577"/>
      <c r="U191" s="2276">
        <v>20000</v>
      </c>
      <c r="V191" s="1302"/>
      <c r="W191" s="1482">
        <f t="shared" si="202"/>
        <v>20000</v>
      </c>
      <c r="X191" s="1578">
        <f t="shared" si="162"/>
        <v>200</v>
      </c>
      <c r="Y191" s="2457"/>
      <c r="Z191" s="1136"/>
      <c r="AA191" s="1136"/>
      <c r="AB191" s="1293">
        <f t="shared" si="148"/>
        <v>0</v>
      </c>
      <c r="AC191" s="1293">
        <f t="shared" si="157"/>
        <v>0</v>
      </c>
      <c r="AD191" s="1293">
        <f t="shared" si="163"/>
        <v>10000</v>
      </c>
      <c r="AE191" s="1293">
        <f t="shared" si="154"/>
        <v>0</v>
      </c>
      <c r="AF191" s="1294"/>
      <c r="AG191" s="1294"/>
      <c r="AH191" s="1294">
        <f t="shared" si="155"/>
        <v>0</v>
      </c>
      <c r="AI191" s="1294">
        <f t="shared" si="191"/>
        <v>0</v>
      </c>
      <c r="AJ191" s="1293">
        <f t="shared" si="164"/>
        <v>0</v>
      </c>
      <c r="AK191" s="1294"/>
      <c r="AL191" s="1294"/>
      <c r="AM191" s="1294"/>
      <c r="AN191" s="1294"/>
      <c r="AO191" s="1294"/>
      <c r="AP191" s="1294"/>
      <c r="AQ191" s="1294"/>
      <c r="AR191" s="1294">
        <f t="shared" si="195"/>
        <v>0</v>
      </c>
      <c r="AS191" s="1136"/>
      <c r="AT191" s="668">
        <f t="shared" si="196"/>
        <v>0</v>
      </c>
      <c r="AU191" s="463"/>
      <c r="AV191" s="468">
        <f t="shared" si="197"/>
        <v>0</v>
      </c>
      <c r="AW191" s="468">
        <f t="shared" si="198"/>
        <v>20000</v>
      </c>
      <c r="AX191" s="272"/>
      <c r="AY191" s="272"/>
      <c r="AZ191" s="272"/>
      <c r="BA191" s="272"/>
      <c r="BB191" s="272"/>
      <c r="BC191" s="437">
        <f t="shared" si="203"/>
        <v>0</v>
      </c>
      <c r="BD191" s="437"/>
      <c r="BE191" s="579">
        <v>10000</v>
      </c>
      <c r="BF191" s="577"/>
    </row>
    <row r="192" spans="1:59" ht="53.45" customHeight="1">
      <c r="A192" s="1572"/>
      <c r="B192" s="1573"/>
      <c r="C192" s="1573"/>
      <c r="D192" s="1574">
        <v>226</v>
      </c>
      <c r="E192" s="1574"/>
      <c r="F192" s="1796">
        <v>613991</v>
      </c>
      <c r="G192" s="1837" t="s">
        <v>808</v>
      </c>
      <c r="H192" s="1575"/>
      <c r="I192" s="1644">
        <v>100000</v>
      </c>
      <c r="J192" s="1575"/>
      <c r="K192" s="1576">
        <f t="shared" si="201"/>
        <v>100000</v>
      </c>
      <c r="L192" s="1577"/>
      <c r="M192" s="1357">
        <v>50000</v>
      </c>
      <c r="N192" s="1302"/>
      <c r="O192" s="1476">
        <f t="shared" si="204"/>
        <v>50000</v>
      </c>
      <c r="P192" s="1577"/>
      <c r="Q192" s="1328">
        <v>65000</v>
      </c>
      <c r="R192" s="1302"/>
      <c r="S192" s="1476">
        <v>65000</v>
      </c>
      <c r="T192" s="1577"/>
      <c r="U192" s="1360"/>
      <c r="V192" s="1302"/>
      <c r="W192" s="1482">
        <f t="shared" si="202"/>
        <v>0</v>
      </c>
      <c r="X192" s="1578">
        <f t="shared" si="162"/>
        <v>0</v>
      </c>
      <c r="Y192" s="2457"/>
      <c r="Z192" s="1136"/>
      <c r="AA192" s="1136"/>
      <c r="AB192" s="1293">
        <f t="shared" si="148"/>
        <v>0</v>
      </c>
      <c r="AC192" s="1293">
        <f t="shared" si="157"/>
        <v>0</v>
      </c>
      <c r="AD192" s="1293">
        <f t="shared" si="163"/>
        <v>-50000</v>
      </c>
      <c r="AE192" s="1293">
        <f t="shared" si="154"/>
        <v>0</v>
      </c>
      <c r="AF192" s="1294"/>
      <c r="AG192" s="1294"/>
      <c r="AH192" s="1294">
        <f t="shared" si="155"/>
        <v>0</v>
      </c>
      <c r="AI192" s="1294">
        <f t="shared" si="191"/>
        <v>0</v>
      </c>
      <c r="AJ192" s="1293">
        <f t="shared" si="164"/>
        <v>0</v>
      </c>
      <c r="AK192" s="1294"/>
      <c r="AL192" s="1294"/>
      <c r="AM192" s="1294"/>
      <c r="AN192" s="1294"/>
      <c r="AO192" s="1294"/>
      <c r="AP192" s="1294"/>
      <c r="AQ192" s="1294"/>
      <c r="AR192" s="1294">
        <f t="shared" si="195"/>
        <v>0</v>
      </c>
      <c r="AS192" s="1136"/>
      <c r="AT192" s="668">
        <f t="shared" si="196"/>
        <v>0</v>
      </c>
      <c r="AU192" s="463"/>
      <c r="AV192" s="468">
        <f t="shared" si="197"/>
        <v>0</v>
      </c>
      <c r="AW192" s="468">
        <f t="shared" si="198"/>
        <v>20000</v>
      </c>
      <c r="AX192" s="272"/>
      <c r="AY192" s="272"/>
      <c r="AZ192" s="272"/>
      <c r="BA192" s="272"/>
      <c r="BB192" s="272"/>
      <c r="BC192" s="437">
        <f t="shared" si="203"/>
        <v>0</v>
      </c>
      <c r="BD192" s="437"/>
      <c r="BE192" s="649"/>
      <c r="BF192" s="649">
        <v>50000</v>
      </c>
    </row>
    <row r="193" spans="1:59" ht="53.45" customHeight="1">
      <c r="A193" s="1572"/>
      <c r="B193" s="1573"/>
      <c r="C193" s="1573"/>
      <c r="D193" s="1574">
        <v>227</v>
      </c>
      <c r="E193" s="1574"/>
      <c r="F193" s="1796">
        <v>613991</v>
      </c>
      <c r="G193" s="1837" t="s">
        <v>688</v>
      </c>
      <c r="H193" s="1575"/>
      <c r="I193" s="1644">
        <v>5000</v>
      </c>
      <c r="J193" s="1575"/>
      <c r="K193" s="1576">
        <f t="shared" si="201"/>
        <v>5000</v>
      </c>
      <c r="L193" s="1577"/>
      <c r="M193" s="1361">
        <v>5000</v>
      </c>
      <c r="N193" s="1302"/>
      <c r="O193" s="1476">
        <f t="shared" si="204"/>
        <v>5000</v>
      </c>
      <c r="P193" s="1577"/>
      <c r="Q193" s="1328">
        <v>80000</v>
      </c>
      <c r="R193" s="1302"/>
      <c r="S193" s="1476">
        <v>80000</v>
      </c>
      <c r="T193" s="1577"/>
      <c r="U193" s="2277">
        <v>30000</v>
      </c>
      <c r="V193" s="1302"/>
      <c r="W193" s="1482">
        <f t="shared" si="202"/>
        <v>30000</v>
      </c>
      <c r="X193" s="1578">
        <f t="shared" si="162"/>
        <v>600</v>
      </c>
      <c r="Y193" s="2457"/>
      <c r="Z193" s="1136"/>
      <c r="AA193" s="1136"/>
      <c r="AB193" s="1293">
        <f t="shared" si="148"/>
        <v>0</v>
      </c>
      <c r="AC193" s="1293">
        <f t="shared" si="157"/>
        <v>0</v>
      </c>
      <c r="AD193" s="1293">
        <f t="shared" si="163"/>
        <v>25000</v>
      </c>
      <c r="AE193" s="1293">
        <f t="shared" si="154"/>
        <v>0</v>
      </c>
      <c r="AF193" s="1294"/>
      <c r="AG193" s="1294"/>
      <c r="AH193" s="1294">
        <f t="shared" si="155"/>
        <v>0</v>
      </c>
      <c r="AI193" s="1294">
        <f t="shared" si="191"/>
        <v>0</v>
      </c>
      <c r="AJ193" s="1293">
        <f t="shared" si="164"/>
        <v>0</v>
      </c>
      <c r="AK193" s="1294"/>
      <c r="AL193" s="1294"/>
      <c r="AM193" s="1294"/>
      <c r="AN193" s="1294"/>
      <c r="AO193" s="1294"/>
      <c r="AP193" s="1294"/>
      <c r="AQ193" s="1294"/>
      <c r="AR193" s="1294">
        <f t="shared" si="195"/>
        <v>0</v>
      </c>
      <c r="AS193" s="1136"/>
      <c r="AT193" s="668">
        <f t="shared" si="196"/>
        <v>0</v>
      </c>
      <c r="AU193" s="463"/>
      <c r="AV193" s="468">
        <f t="shared" si="197"/>
        <v>0</v>
      </c>
      <c r="AW193" s="468">
        <f t="shared" si="198"/>
        <v>0</v>
      </c>
      <c r="AX193" s="272"/>
      <c r="AY193" s="272"/>
      <c r="AZ193" s="272"/>
      <c r="BA193" s="272"/>
      <c r="BB193" s="272"/>
      <c r="BC193" s="437">
        <f t="shared" si="203"/>
        <v>0</v>
      </c>
      <c r="BD193" s="437"/>
      <c r="BE193" s="650">
        <v>5000</v>
      </c>
      <c r="BF193" s="651"/>
    </row>
    <row r="194" spans="1:59" ht="53.45" customHeight="1">
      <c r="A194" s="1572"/>
      <c r="B194" s="1573"/>
      <c r="C194" s="1573"/>
      <c r="D194" s="1574">
        <v>227</v>
      </c>
      <c r="E194" s="1574"/>
      <c r="F194" s="1796">
        <v>613941</v>
      </c>
      <c r="G194" s="1838" t="s">
        <v>689</v>
      </c>
      <c r="H194" s="1575"/>
      <c r="I194" s="1644">
        <v>12000</v>
      </c>
      <c r="J194" s="1575"/>
      <c r="K194" s="1576">
        <f t="shared" si="201"/>
        <v>12000</v>
      </c>
      <c r="L194" s="1577"/>
      <c r="M194" s="1361">
        <v>12000</v>
      </c>
      <c r="N194" s="1302"/>
      <c r="O194" s="1476">
        <f t="shared" si="204"/>
        <v>12000</v>
      </c>
      <c r="P194" s="1577"/>
      <c r="Q194" s="1328">
        <v>20000</v>
      </c>
      <c r="R194" s="1302"/>
      <c r="S194" s="1476">
        <v>20000</v>
      </c>
      <c r="T194" s="1577"/>
      <c r="U194" s="2277">
        <v>32000</v>
      </c>
      <c r="V194" s="1302"/>
      <c r="W194" s="1482">
        <f t="shared" si="202"/>
        <v>32000</v>
      </c>
      <c r="X194" s="1578">
        <f t="shared" si="162"/>
        <v>266.66666666666663</v>
      </c>
      <c r="Y194" s="2457"/>
      <c r="Z194" s="1136"/>
      <c r="AA194" s="1136"/>
      <c r="AB194" s="1293">
        <f t="shared" si="148"/>
        <v>0</v>
      </c>
      <c r="AC194" s="1293">
        <f t="shared" si="157"/>
        <v>0</v>
      </c>
      <c r="AD194" s="1293">
        <f t="shared" si="163"/>
        <v>20000</v>
      </c>
      <c r="AE194" s="1293">
        <f t="shared" si="154"/>
        <v>0</v>
      </c>
      <c r="AF194" s="1294"/>
      <c r="AG194" s="1294"/>
      <c r="AH194" s="1294">
        <f t="shared" si="155"/>
        <v>0</v>
      </c>
      <c r="AI194" s="1294">
        <f t="shared" si="191"/>
        <v>0</v>
      </c>
      <c r="AJ194" s="1293">
        <f t="shared" si="164"/>
        <v>0</v>
      </c>
      <c r="AK194" s="1294"/>
      <c r="AL194" s="1294"/>
      <c r="AM194" s="1294"/>
      <c r="AN194" s="1294"/>
      <c r="AO194" s="1294"/>
      <c r="AP194" s="1294"/>
      <c r="AQ194" s="1294"/>
      <c r="AR194" s="1294">
        <f t="shared" si="195"/>
        <v>0</v>
      </c>
      <c r="AS194" s="1136"/>
      <c r="AT194" s="668">
        <f t="shared" si="196"/>
        <v>0</v>
      </c>
      <c r="AU194" s="463"/>
      <c r="AV194" s="468">
        <f t="shared" si="197"/>
        <v>0</v>
      </c>
      <c r="AW194" s="468">
        <f t="shared" si="198"/>
        <v>20000</v>
      </c>
      <c r="AX194" s="272"/>
      <c r="AY194" s="272"/>
      <c r="AZ194" s="272"/>
      <c r="BA194" s="272"/>
      <c r="BB194" s="272"/>
      <c r="BC194" s="437">
        <f t="shared" si="203"/>
        <v>0</v>
      </c>
      <c r="BD194" s="437"/>
      <c r="BE194" s="650">
        <v>12000</v>
      </c>
      <c r="BF194" s="651"/>
    </row>
    <row r="195" spans="1:59" ht="53.45" customHeight="1">
      <c r="A195" s="1376"/>
      <c r="B195" s="1377"/>
      <c r="C195" s="1377"/>
      <c r="D195" s="1378">
        <v>226</v>
      </c>
      <c r="E195" s="1378" t="s">
        <v>302</v>
      </c>
      <c r="F195" s="1799" t="s">
        <v>303</v>
      </c>
      <c r="G195" s="1840" t="s">
        <v>796</v>
      </c>
      <c r="H195" s="1380"/>
      <c r="I195" s="1648">
        <v>10000</v>
      </c>
      <c r="J195" s="1380"/>
      <c r="K195" s="1630">
        <f t="shared" si="201"/>
        <v>10000</v>
      </c>
      <c r="L195" s="1601"/>
      <c r="M195" s="1461">
        <v>25000</v>
      </c>
      <c r="N195" s="1304"/>
      <c r="O195" s="1474">
        <f t="shared" si="204"/>
        <v>25000</v>
      </c>
      <c r="P195" s="1601"/>
      <c r="Q195" s="1330">
        <v>23350</v>
      </c>
      <c r="R195" s="1304"/>
      <c r="S195" s="1474">
        <v>23350</v>
      </c>
      <c r="T195" s="1577"/>
      <c r="U195" s="1359">
        <v>20000</v>
      </c>
      <c r="V195" s="1302"/>
      <c r="W195" s="1483">
        <f t="shared" ref="W195:W201" si="205">SUM(T195:V195)</f>
        <v>20000</v>
      </c>
      <c r="X195" s="1578">
        <f t="shared" si="162"/>
        <v>80</v>
      </c>
      <c r="Y195" s="2457"/>
      <c r="Z195" s="1136"/>
      <c r="AA195" s="1136"/>
      <c r="AB195" s="1293">
        <f t="shared" si="148"/>
        <v>0</v>
      </c>
      <c r="AC195" s="1293">
        <f t="shared" si="157"/>
        <v>0</v>
      </c>
      <c r="AD195" s="1293">
        <f t="shared" si="163"/>
        <v>-5000</v>
      </c>
      <c r="AE195" s="1293">
        <f t="shared" si="154"/>
        <v>0</v>
      </c>
      <c r="AF195" s="1294"/>
      <c r="AG195" s="1294"/>
      <c r="AH195" s="1294">
        <f t="shared" si="155"/>
        <v>0</v>
      </c>
      <c r="AI195" s="1294">
        <f t="shared" si="191"/>
        <v>0</v>
      </c>
      <c r="AJ195" s="1293">
        <f t="shared" si="164"/>
        <v>0</v>
      </c>
      <c r="AK195" s="1294"/>
      <c r="AL195" s="1294"/>
      <c r="AM195" s="1294"/>
      <c r="AN195" s="1294"/>
      <c r="AO195" s="1294"/>
      <c r="AP195" s="1294"/>
      <c r="AQ195" s="1294"/>
      <c r="AR195" s="1294">
        <f t="shared" ref="AR195:AR204" si="206">T195+U195+V195-W195</f>
        <v>0</v>
      </c>
      <c r="AS195" s="1136"/>
      <c r="AT195" s="668">
        <f t="shared" ref="AT195:AT204" si="207">T195+U195+V195-W195</f>
        <v>0</v>
      </c>
      <c r="AU195" s="463"/>
      <c r="AV195" s="468">
        <f t="shared" ref="AV195:AV204" si="208">T195+U195+V195-W195</f>
        <v>0</v>
      </c>
      <c r="AW195" s="468">
        <f t="shared" ref="AW195:AW204" si="209">W195-AV195</f>
        <v>20000</v>
      </c>
      <c r="AX195" s="463"/>
      <c r="AY195" s="463"/>
      <c r="AZ195" s="463"/>
      <c r="BA195" s="463"/>
      <c r="BB195" s="463"/>
      <c r="BC195" s="437">
        <f t="shared" ref="BC195:BC201" si="210">T195+U195+V195+-W195</f>
        <v>0</v>
      </c>
      <c r="BD195" s="437"/>
      <c r="BE195" s="655">
        <v>25000</v>
      </c>
      <c r="BF195" s="656"/>
    </row>
    <row r="196" spans="1:59" ht="53.45" customHeight="1">
      <c r="A196" s="1376"/>
      <c r="B196" s="1377"/>
      <c r="C196" s="1377"/>
      <c r="D196" s="1378">
        <v>226</v>
      </c>
      <c r="E196" s="1378" t="s">
        <v>285</v>
      </c>
      <c r="F196" s="1799">
        <v>614200</v>
      </c>
      <c r="G196" s="1840" t="s">
        <v>709</v>
      </c>
      <c r="H196" s="1380"/>
      <c r="I196" s="1648">
        <v>20000</v>
      </c>
      <c r="J196" s="1380"/>
      <c r="K196" s="1630">
        <f t="shared" si="201"/>
        <v>20000</v>
      </c>
      <c r="L196" s="1601"/>
      <c r="M196" s="1461">
        <v>20000</v>
      </c>
      <c r="N196" s="1304"/>
      <c r="O196" s="1474">
        <f t="shared" si="204"/>
        <v>20000</v>
      </c>
      <c r="P196" s="1601"/>
      <c r="Q196" s="1330"/>
      <c r="R196" s="1304"/>
      <c r="S196" s="1474"/>
      <c r="T196" s="1577"/>
      <c r="U196" s="1359">
        <v>25000</v>
      </c>
      <c r="V196" s="1302"/>
      <c r="W196" s="1483">
        <f t="shared" si="205"/>
        <v>25000</v>
      </c>
      <c r="X196" s="1578">
        <f t="shared" si="162"/>
        <v>125</v>
      </c>
      <c r="Y196" s="2457"/>
      <c r="Z196" s="1136"/>
      <c r="AA196" s="1136"/>
      <c r="AB196" s="1293">
        <f t="shared" ref="AB196:AB259" si="211">T196+U196+V196-W196</f>
        <v>0</v>
      </c>
      <c r="AC196" s="1293">
        <f t="shared" si="157"/>
        <v>0</v>
      </c>
      <c r="AD196" s="1293">
        <f t="shared" si="163"/>
        <v>5000</v>
      </c>
      <c r="AE196" s="1293">
        <f t="shared" si="154"/>
        <v>0</v>
      </c>
      <c r="AF196" s="1294"/>
      <c r="AG196" s="1294"/>
      <c r="AH196" s="1294">
        <f t="shared" si="155"/>
        <v>0</v>
      </c>
      <c r="AI196" s="1294">
        <f t="shared" si="191"/>
        <v>0</v>
      </c>
      <c r="AJ196" s="1293">
        <f t="shared" si="164"/>
        <v>0</v>
      </c>
      <c r="AK196" s="1294"/>
      <c r="AL196" s="1294"/>
      <c r="AM196" s="1294"/>
      <c r="AN196" s="1294"/>
      <c r="AO196" s="1294"/>
      <c r="AP196" s="1294"/>
      <c r="AQ196" s="1294" t="e">
        <f>SUM(U171,U177,U180,U182+U187:U191,U195:U199)</f>
        <v>#VALUE!</v>
      </c>
      <c r="AR196" s="1294">
        <f t="shared" si="206"/>
        <v>0</v>
      </c>
      <c r="AS196" s="1136"/>
      <c r="AT196" s="668">
        <f t="shared" si="207"/>
        <v>0</v>
      </c>
      <c r="AU196" s="463"/>
      <c r="AV196" s="468">
        <f t="shared" si="208"/>
        <v>0</v>
      </c>
      <c r="AW196" s="468">
        <f t="shared" si="209"/>
        <v>25000</v>
      </c>
      <c r="AX196" s="463"/>
      <c r="AY196" s="463"/>
      <c r="AZ196" s="463"/>
      <c r="BA196" s="463"/>
      <c r="BB196" s="463"/>
      <c r="BC196" s="437">
        <f t="shared" si="210"/>
        <v>0</v>
      </c>
      <c r="BD196" s="437"/>
      <c r="BE196" s="655">
        <v>20000</v>
      </c>
      <c r="BF196" s="656"/>
    </row>
    <row r="197" spans="1:59" ht="53.45" customHeight="1">
      <c r="A197" s="1376"/>
      <c r="B197" s="1377"/>
      <c r="C197" s="1377"/>
      <c r="D197" s="1378">
        <v>226</v>
      </c>
      <c r="E197" s="1378" t="s">
        <v>304</v>
      </c>
      <c r="F197" s="1799">
        <v>614201</v>
      </c>
      <c r="G197" s="1840" t="s">
        <v>710</v>
      </c>
      <c r="H197" s="1380"/>
      <c r="I197" s="1648">
        <v>200000</v>
      </c>
      <c r="J197" s="1380"/>
      <c r="K197" s="1630">
        <f t="shared" si="201"/>
        <v>200000</v>
      </c>
      <c r="L197" s="1601"/>
      <c r="M197" s="1330"/>
      <c r="N197" s="1304"/>
      <c r="O197" s="1474">
        <f t="shared" si="204"/>
        <v>0</v>
      </c>
      <c r="P197" s="1601"/>
      <c r="Q197" s="1330">
        <v>100000</v>
      </c>
      <c r="R197" s="1304"/>
      <c r="S197" s="1474">
        <v>100000</v>
      </c>
      <c r="T197" s="1601"/>
      <c r="U197" s="1359"/>
      <c r="V197" s="1304"/>
      <c r="W197" s="1483">
        <f t="shared" si="205"/>
        <v>0</v>
      </c>
      <c r="X197" s="1578"/>
      <c r="Y197" s="2457"/>
      <c r="Z197" s="1136"/>
      <c r="AA197" s="1136"/>
      <c r="AB197" s="1293">
        <f t="shared" si="211"/>
        <v>0</v>
      </c>
      <c r="AC197" s="1293">
        <f t="shared" si="157"/>
        <v>0</v>
      </c>
      <c r="AD197" s="1293">
        <f t="shared" si="163"/>
        <v>0</v>
      </c>
      <c r="AE197" s="1293">
        <f t="shared" ref="AE197:AE260" si="212">T197+U197+V197-W197</f>
        <v>0</v>
      </c>
      <c r="AF197" s="1294"/>
      <c r="AG197" s="1294"/>
      <c r="AH197" s="1294">
        <f t="shared" si="155"/>
        <v>0</v>
      </c>
      <c r="AI197" s="1294">
        <f t="shared" si="191"/>
        <v>0</v>
      </c>
      <c r="AJ197" s="1293">
        <f t="shared" si="164"/>
        <v>0</v>
      </c>
      <c r="AK197" s="1294"/>
      <c r="AL197" s="1294"/>
      <c r="AM197" s="1294"/>
      <c r="AN197" s="1294"/>
      <c r="AO197" s="1294"/>
      <c r="AP197" s="1294"/>
      <c r="AQ197" s="1294"/>
      <c r="AR197" s="1294">
        <f t="shared" si="206"/>
        <v>0</v>
      </c>
      <c r="AS197" s="1136"/>
      <c r="AT197" s="668">
        <f t="shared" si="207"/>
        <v>0</v>
      </c>
      <c r="AU197" s="463"/>
      <c r="AV197" s="468">
        <f t="shared" si="208"/>
        <v>0</v>
      </c>
      <c r="AW197" s="468">
        <f t="shared" si="209"/>
        <v>0</v>
      </c>
      <c r="AX197" s="463"/>
      <c r="AY197" s="463"/>
      <c r="AZ197" s="463"/>
      <c r="BA197" s="463"/>
      <c r="BB197" s="463"/>
      <c r="BC197" s="437">
        <f t="shared" si="210"/>
        <v>0</v>
      </c>
      <c r="BD197" s="437"/>
      <c r="BE197" s="656"/>
      <c r="BF197" s="656"/>
    </row>
    <row r="198" spans="1:59" ht="53.45" customHeight="1">
      <c r="A198" s="1376"/>
      <c r="B198" s="1377"/>
      <c r="C198" s="1377"/>
      <c r="D198" s="1378">
        <v>226</v>
      </c>
      <c r="E198" s="1378" t="s">
        <v>285</v>
      </c>
      <c r="F198" s="1799">
        <v>614300</v>
      </c>
      <c r="G198" s="1840" t="s">
        <v>711</v>
      </c>
      <c r="H198" s="1380"/>
      <c r="I198" s="1648">
        <v>50000</v>
      </c>
      <c r="J198" s="1380"/>
      <c r="K198" s="1630">
        <f t="shared" si="201"/>
        <v>50000</v>
      </c>
      <c r="L198" s="1601"/>
      <c r="M198" s="1330"/>
      <c r="N198" s="1304"/>
      <c r="O198" s="1474">
        <f t="shared" si="204"/>
        <v>0</v>
      </c>
      <c r="P198" s="1601"/>
      <c r="Q198" s="1330"/>
      <c r="R198" s="1304"/>
      <c r="S198" s="1474">
        <f>SUM(Q198)</f>
        <v>0</v>
      </c>
      <c r="T198" s="1601"/>
      <c r="U198" s="1359"/>
      <c r="V198" s="1304"/>
      <c r="W198" s="1483">
        <f t="shared" si="205"/>
        <v>0</v>
      </c>
      <c r="X198" s="1578"/>
      <c r="Y198" s="2457"/>
      <c r="Z198" s="1136"/>
      <c r="AA198" s="1136"/>
      <c r="AB198" s="1293">
        <f t="shared" si="211"/>
        <v>0</v>
      </c>
      <c r="AC198" s="1293">
        <f t="shared" ref="AC198:AC261" si="213">T198+U198+V198-W198</f>
        <v>0</v>
      </c>
      <c r="AD198" s="1293">
        <f t="shared" si="163"/>
        <v>0</v>
      </c>
      <c r="AE198" s="1293">
        <f t="shared" si="212"/>
        <v>0</v>
      </c>
      <c r="AF198" s="1294"/>
      <c r="AG198" s="1294"/>
      <c r="AH198" s="1294">
        <f t="shared" ref="AH198:AH261" si="214">T198-L198</f>
        <v>0</v>
      </c>
      <c r="AI198" s="1294">
        <f t="shared" si="191"/>
        <v>0</v>
      </c>
      <c r="AJ198" s="1293">
        <f t="shared" si="164"/>
        <v>0</v>
      </c>
      <c r="AK198" s="1294"/>
      <c r="AL198" s="1294"/>
      <c r="AM198" s="1294"/>
      <c r="AN198" s="1294"/>
      <c r="AO198" s="1294"/>
      <c r="AP198" s="1294"/>
      <c r="AQ198" s="1294"/>
      <c r="AR198" s="1294">
        <f t="shared" si="206"/>
        <v>0</v>
      </c>
      <c r="AS198" s="1136"/>
      <c r="AT198" s="668">
        <f t="shared" si="207"/>
        <v>0</v>
      </c>
      <c r="AU198" s="463"/>
      <c r="AV198" s="468">
        <f t="shared" si="208"/>
        <v>0</v>
      </c>
      <c r="AW198" s="468">
        <f t="shared" si="209"/>
        <v>0</v>
      </c>
      <c r="AX198" s="463"/>
      <c r="AY198" s="463"/>
      <c r="AZ198" s="463"/>
      <c r="BA198" s="463"/>
      <c r="BB198" s="463"/>
      <c r="BC198" s="437">
        <f t="shared" si="210"/>
        <v>0</v>
      </c>
      <c r="BD198" s="437"/>
      <c r="BE198" s="656"/>
      <c r="BF198" s="656"/>
    </row>
    <row r="199" spans="1:59" ht="53.45" customHeight="1">
      <c r="A199" s="1376"/>
      <c r="B199" s="1377"/>
      <c r="C199" s="1377"/>
      <c r="D199" s="1378">
        <v>226</v>
      </c>
      <c r="E199" s="1378" t="s">
        <v>304</v>
      </c>
      <c r="F199" s="1799">
        <v>614301</v>
      </c>
      <c r="G199" s="1840" t="s">
        <v>712</v>
      </c>
      <c r="H199" s="1380"/>
      <c r="I199" s="1648">
        <v>200000</v>
      </c>
      <c r="J199" s="1380"/>
      <c r="K199" s="1630">
        <f t="shared" si="201"/>
        <v>200000</v>
      </c>
      <c r="L199" s="1601"/>
      <c r="M199" s="1461">
        <v>100000</v>
      </c>
      <c r="N199" s="1304"/>
      <c r="O199" s="1474">
        <f t="shared" si="204"/>
        <v>100000</v>
      </c>
      <c r="P199" s="1601"/>
      <c r="Q199" s="1330">
        <v>250000</v>
      </c>
      <c r="R199" s="1304"/>
      <c r="S199" s="1474">
        <v>250000</v>
      </c>
      <c r="T199" s="1601"/>
      <c r="U199" s="1359">
        <v>100000</v>
      </c>
      <c r="V199" s="1304"/>
      <c r="W199" s="1483">
        <f t="shared" si="205"/>
        <v>100000</v>
      </c>
      <c r="X199" s="1578">
        <f t="shared" si="162"/>
        <v>100</v>
      </c>
      <c r="Y199" s="2457"/>
      <c r="Z199" s="1136"/>
      <c r="AA199" s="1136"/>
      <c r="AB199" s="1293">
        <f t="shared" si="211"/>
        <v>0</v>
      </c>
      <c r="AC199" s="1293">
        <f t="shared" si="213"/>
        <v>0</v>
      </c>
      <c r="AD199" s="1293">
        <f t="shared" si="163"/>
        <v>0</v>
      </c>
      <c r="AE199" s="1293">
        <f t="shared" si="212"/>
        <v>0</v>
      </c>
      <c r="AF199" s="1294"/>
      <c r="AG199" s="1294"/>
      <c r="AH199" s="1294">
        <f t="shared" si="214"/>
        <v>0</v>
      </c>
      <c r="AI199" s="1294">
        <f t="shared" si="191"/>
        <v>0</v>
      </c>
      <c r="AJ199" s="1293">
        <f t="shared" si="164"/>
        <v>0</v>
      </c>
      <c r="AK199" s="1294"/>
      <c r="AL199" s="1294"/>
      <c r="AM199" s="1294"/>
      <c r="AN199" s="1294"/>
      <c r="AO199" s="1294"/>
      <c r="AP199" s="1294"/>
      <c r="AQ199" s="1294"/>
      <c r="AR199" s="1294">
        <f t="shared" si="206"/>
        <v>0</v>
      </c>
      <c r="AS199" s="1136"/>
      <c r="AT199" s="668">
        <f t="shared" si="207"/>
        <v>0</v>
      </c>
      <c r="AU199" s="463"/>
      <c r="AV199" s="468">
        <f t="shared" si="208"/>
        <v>0</v>
      </c>
      <c r="AW199" s="468">
        <f t="shared" si="209"/>
        <v>100000</v>
      </c>
      <c r="AX199" s="463"/>
      <c r="AY199" s="463"/>
      <c r="AZ199" s="463"/>
      <c r="BA199" s="463"/>
      <c r="BB199" s="463"/>
      <c r="BC199" s="437">
        <f t="shared" si="210"/>
        <v>0</v>
      </c>
      <c r="BD199" s="437"/>
      <c r="BE199" s="657"/>
      <c r="BF199" s="657">
        <v>100000</v>
      </c>
    </row>
    <row r="200" spans="1:59" ht="53.45" customHeight="1">
      <c r="A200" s="1376"/>
      <c r="B200" s="1377"/>
      <c r="C200" s="1377"/>
      <c r="D200" s="1378">
        <v>226</v>
      </c>
      <c r="E200" s="1378"/>
      <c r="F200" s="1799" t="s">
        <v>305</v>
      </c>
      <c r="G200" s="1840" t="s">
        <v>713</v>
      </c>
      <c r="H200" s="1380"/>
      <c r="I200" s="1648">
        <v>50000</v>
      </c>
      <c r="J200" s="1380"/>
      <c r="K200" s="1630">
        <f t="shared" si="201"/>
        <v>50000</v>
      </c>
      <c r="L200" s="1601"/>
      <c r="M200" s="1461">
        <v>130000</v>
      </c>
      <c r="N200" s="1304"/>
      <c r="O200" s="1474">
        <f t="shared" si="204"/>
        <v>130000</v>
      </c>
      <c r="P200" s="1601"/>
      <c r="Q200" s="1330"/>
      <c r="R200" s="1304"/>
      <c r="S200" s="1474">
        <f>SUM(Q200)</f>
        <v>0</v>
      </c>
      <c r="T200" s="1601"/>
      <c r="U200" s="1461">
        <v>300000</v>
      </c>
      <c r="V200" s="1304"/>
      <c r="W200" s="1474">
        <f t="shared" si="205"/>
        <v>300000</v>
      </c>
      <c r="X200" s="1578">
        <f t="shared" ref="X200:X263" si="215">W200/O200*100</f>
        <v>230.76923076923075</v>
      </c>
      <c r="Y200" s="2457"/>
      <c r="Z200" s="1136"/>
      <c r="AA200" s="1136"/>
      <c r="AB200" s="1293">
        <f t="shared" si="211"/>
        <v>0</v>
      </c>
      <c r="AC200" s="1293">
        <f t="shared" si="213"/>
        <v>0</v>
      </c>
      <c r="AD200" s="1293">
        <f t="shared" ref="AD200:AD231" si="216">W200-O200</f>
        <v>170000</v>
      </c>
      <c r="AE200" s="1293">
        <f t="shared" si="212"/>
        <v>0</v>
      </c>
      <c r="AF200" s="1294"/>
      <c r="AG200" s="1294"/>
      <c r="AH200" s="1294">
        <f t="shared" si="214"/>
        <v>0</v>
      </c>
      <c r="AI200" s="1294">
        <f t="shared" si="191"/>
        <v>0</v>
      </c>
      <c r="AJ200" s="1293">
        <f t="shared" ref="AJ200:AJ263" si="217">T200+U200+V200-W200</f>
        <v>0</v>
      </c>
      <c r="AK200" s="1294"/>
      <c r="AL200" s="1294"/>
      <c r="AM200" s="1294"/>
      <c r="AN200" s="1294"/>
      <c r="AO200" s="1294"/>
      <c r="AP200" s="1294"/>
      <c r="AQ200" s="1294"/>
      <c r="AR200" s="1294">
        <f t="shared" si="206"/>
        <v>0</v>
      </c>
      <c r="AS200" s="1136"/>
      <c r="AT200" s="668">
        <f t="shared" si="207"/>
        <v>0</v>
      </c>
      <c r="AU200" s="463"/>
      <c r="AV200" s="468">
        <f t="shared" si="208"/>
        <v>0</v>
      </c>
      <c r="AW200" s="468">
        <f t="shared" si="209"/>
        <v>300000</v>
      </c>
      <c r="AX200" s="463"/>
      <c r="AY200" s="463"/>
      <c r="AZ200" s="463"/>
      <c r="BA200" s="463"/>
      <c r="BB200" s="463"/>
      <c r="BC200" s="437">
        <f t="shared" si="210"/>
        <v>0</v>
      </c>
      <c r="BD200" s="437"/>
      <c r="BE200" s="655">
        <v>130000</v>
      </c>
      <c r="BF200" s="656"/>
    </row>
    <row r="201" spans="1:59" ht="53.45" customHeight="1">
      <c r="A201" s="1376"/>
      <c r="B201" s="1377"/>
      <c r="C201" s="1377"/>
      <c r="D201" s="1378">
        <v>226</v>
      </c>
      <c r="E201" s="1378"/>
      <c r="F201" s="1799" t="s">
        <v>305</v>
      </c>
      <c r="G201" s="1840" t="s">
        <v>714</v>
      </c>
      <c r="H201" s="1380"/>
      <c r="I201" s="1648">
        <v>600000</v>
      </c>
      <c r="J201" s="1380"/>
      <c r="K201" s="1630">
        <f t="shared" si="201"/>
        <v>600000</v>
      </c>
      <c r="L201" s="1601"/>
      <c r="M201" s="1461">
        <v>250000</v>
      </c>
      <c r="N201" s="1304"/>
      <c r="O201" s="1474">
        <f t="shared" si="204"/>
        <v>250000</v>
      </c>
      <c r="P201" s="1601"/>
      <c r="Q201" s="1303"/>
      <c r="R201" s="1304">
        <f>SUM(R207:R211)</f>
        <v>0</v>
      </c>
      <c r="S201" s="1477">
        <f>SUM(S207:S208)</f>
        <v>0</v>
      </c>
      <c r="T201" s="1601"/>
      <c r="U201" s="1330"/>
      <c r="V201" s="1304"/>
      <c r="W201" s="1474">
        <f t="shared" si="205"/>
        <v>0</v>
      </c>
      <c r="X201" s="1578">
        <f t="shared" si="215"/>
        <v>0</v>
      </c>
      <c r="Y201" s="2457"/>
      <c r="Z201" s="1136"/>
      <c r="AA201" s="1136"/>
      <c r="AB201" s="1293">
        <f t="shared" si="211"/>
        <v>0</v>
      </c>
      <c r="AC201" s="1293">
        <f t="shared" si="213"/>
        <v>0</v>
      </c>
      <c r="AD201" s="1293">
        <f t="shared" si="216"/>
        <v>-250000</v>
      </c>
      <c r="AE201" s="1293">
        <f t="shared" si="212"/>
        <v>0</v>
      </c>
      <c r="AF201" s="1294"/>
      <c r="AG201" s="1294"/>
      <c r="AH201" s="1294">
        <f t="shared" si="214"/>
        <v>0</v>
      </c>
      <c r="AI201" s="1294">
        <f t="shared" si="191"/>
        <v>0</v>
      </c>
      <c r="AJ201" s="1293">
        <f t="shared" si="217"/>
        <v>0</v>
      </c>
      <c r="AK201" s="1294"/>
      <c r="AL201" s="1294"/>
      <c r="AM201" s="1294"/>
      <c r="AN201" s="1294"/>
      <c r="AO201" s="1294"/>
      <c r="AP201" s="1294"/>
      <c r="AQ201" s="1294"/>
      <c r="AR201" s="1294">
        <f t="shared" si="206"/>
        <v>0</v>
      </c>
      <c r="AS201" s="1136"/>
      <c r="AT201" s="668">
        <f t="shared" si="207"/>
        <v>0</v>
      </c>
      <c r="AU201" s="463"/>
      <c r="AV201" s="468">
        <f t="shared" si="208"/>
        <v>0</v>
      </c>
      <c r="AW201" s="468">
        <f t="shared" si="209"/>
        <v>0</v>
      </c>
      <c r="AX201" s="463"/>
      <c r="AY201" s="463"/>
      <c r="AZ201" s="463"/>
      <c r="BA201" s="463"/>
      <c r="BB201" s="463"/>
      <c r="BC201" s="437">
        <f t="shared" si="210"/>
        <v>0</v>
      </c>
      <c r="BD201" s="437"/>
      <c r="BE201" s="657"/>
      <c r="BF201" s="657">
        <v>250000</v>
      </c>
    </row>
    <row r="202" spans="1:59" ht="53.45" customHeight="1">
      <c r="A202" s="1376"/>
      <c r="B202" s="1377"/>
      <c r="C202" s="1377"/>
      <c r="D202" s="1378"/>
      <c r="E202" s="1378" t="s">
        <v>285</v>
      </c>
      <c r="F202" s="1795">
        <v>821000</v>
      </c>
      <c r="G202" s="1840" t="s">
        <v>236</v>
      </c>
      <c r="H202" s="1380">
        <f t="shared" ref="H202:R202" si="218">SUM(H203:H209)</f>
        <v>0</v>
      </c>
      <c r="I202" s="1380">
        <f t="shared" si="218"/>
        <v>3207510</v>
      </c>
      <c r="J202" s="1380">
        <f t="shared" si="218"/>
        <v>0</v>
      </c>
      <c r="K202" s="1642">
        <f t="shared" si="218"/>
        <v>3207510</v>
      </c>
      <c r="L202" s="1601">
        <f t="shared" si="218"/>
        <v>0</v>
      </c>
      <c r="M202" s="1303">
        <f t="shared" si="218"/>
        <v>4311654</v>
      </c>
      <c r="N202" s="1304">
        <f t="shared" si="218"/>
        <v>0</v>
      </c>
      <c r="O202" s="1477">
        <f>SUM(O203:O209)</f>
        <v>4311654</v>
      </c>
      <c r="P202" s="1601">
        <f t="shared" si="218"/>
        <v>0</v>
      </c>
      <c r="Q202" s="1303">
        <f t="shared" si="218"/>
        <v>4437844</v>
      </c>
      <c r="R202" s="1304">
        <f t="shared" si="218"/>
        <v>0</v>
      </c>
      <c r="S202" s="1477">
        <f>SUM(S203:S209)</f>
        <v>0</v>
      </c>
      <c r="T202" s="1601">
        <f>SUM(T203:T209)</f>
        <v>0</v>
      </c>
      <c r="U202" s="1303">
        <f>SUM(U203:U209)</f>
        <v>650000</v>
      </c>
      <c r="V202" s="1304">
        <f>SUM(V203:V209)</f>
        <v>0</v>
      </c>
      <c r="W202" s="1477">
        <f>SUM(W203:W209)</f>
        <v>650000</v>
      </c>
      <c r="X202" s="1578">
        <f t="shared" si="215"/>
        <v>15.075421172478126</v>
      </c>
      <c r="Y202" s="2457">
        <f>'[1]PRIH REBALANS'!$AK$531</f>
        <v>650000</v>
      </c>
      <c r="Z202" s="1136"/>
      <c r="AA202" s="1136">
        <f>'[9]PRIH REBALANS'!$AK$531</f>
        <v>650000</v>
      </c>
      <c r="AB202" s="1293">
        <f t="shared" si="211"/>
        <v>0</v>
      </c>
      <c r="AC202" s="1293">
        <f t="shared" si="213"/>
        <v>0</v>
      </c>
      <c r="AD202" s="1293">
        <f t="shared" si="216"/>
        <v>-3661654</v>
      </c>
      <c r="AE202" s="1293">
        <f t="shared" si="212"/>
        <v>0</v>
      </c>
      <c r="AF202" s="1294"/>
      <c r="AG202" s="1294"/>
      <c r="AH202" s="1294">
        <f t="shared" si="214"/>
        <v>0</v>
      </c>
      <c r="AI202" s="1294">
        <f t="shared" ref="AI202:AI233" si="219">T202+U202+V202-W202</f>
        <v>0</v>
      </c>
      <c r="AJ202" s="1293">
        <f t="shared" si="217"/>
        <v>0</v>
      </c>
      <c r="AK202" s="1294"/>
      <c r="AL202" s="1294"/>
      <c r="AM202" s="1294"/>
      <c r="AN202" s="1294"/>
      <c r="AO202" s="1294"/>
      <c r="AP202" s="1294"/>
      <c r="AQ202" s="1294"/>
      <c r="AR202" s="1294">
        <f t="shared" si="206"/>
        <v>0</v>
      </c>
      <c r="AS202" s="1136">
        <f>SUM(W203:W209)</f>
        <v>650000</v>
      </c>
      <c r="AT202" s="668">
        <f t="shared" si="207"/>
        <v>0</v>
      </c>
      <c r="AU202" s="463">
        <f>SUM(W203:W209)</f>
        <v>650000</v>
      </c>
      <c r="AV202" s="468">
        <f t="shared" si="208"/>
        <v>0</v>
      </c>
      <c r="AW202" s="468">
        <f t="shared" si="209"/>
        <v>650000</v>
      </c>
      <c r="AX202" s="463"/>
      <c r="AY202" s="463"/>
      <c r="AZ202" s="463"/>
      <c r="BA202" s="463"/>
      <c r="BB202" s="463"/>
      <c r="BC202" s="437">
        <f>'[2]PRIH REBALANS'!$AH$550+'[2]PRIH REBALANS'!$AI$550</f>
        <v>4311653</v>
      </c>
      <c r="BD202" s="437"/>
      <c r="BE202" s="658"/>
      <c r="BF202" s="658"/>
      <c r="BG202" s="209">
        <f>SUM(W203:W209)</f>
        <v>650000</v>
      </c>
    </row>
    <row r="203" spans="1:59" ht="53.45" customHeight="1">
      <c r="A203" s="1572"/>
      <c r="B203" s="1573"/>
      <c r="C203" s="1573"/>
      <c r="D203" s="1574">
        <v>226</v>
      </c>
      <c r="E203" s="1574"/>
      <c r="F203" s="1796" t="s">
        <v>195</v>
      </c>
      <c r="G203" s="1837" t="s">
        <v>690</v>
      </c>
      <c r="H203" s="1575"/>
      <c r="I203" s="1575">
        <v>150000</v>
      </c>
      <c r="J203" s="1575"/>
      <c r="K203" s="1576">
        <f t="shared" ref="K203:K209" si="220">SUM(H203:J203)</f>
        <v>150000</v>
      </c>
      <c r="L203" s="1577"/>
      <c r="M203" s="1649">
        <v>200000</v>
      </c>
      <c r="N203" s="1302"/>
      <c r="O203" s="1476">
        <f>SUM(L203:N203)</f>
        <v>200000</v>
      </c>
      <c r="P203" s="1601"/>
      <c r="Q203" s="1331">
        <v>2145000</v>
      </c>
      <c r="R203" s="1304"/>
      <c r="S203" s="1477"/>
      <c r="T203" s="1601"/>
      <c r="U203" s="2278">
        <v>250000</v>
      </c>
      <c r="V203" s="1304"/>
      <c r="W203" s="1388">
        <f>SUM(T203:V203)</f>
        <v>250000</v>
      </c>
      <c r="X203" s="1578">
        <f t="shared" si="215"/>
        <v>125</v>
      </c>
      <c r="Y203" s="2457"/>
      <c r="Z203" s="1136"/>
      <c r="AA203" s="1136"/>
      <c r="AB203" s="1293">
        <f t="shared" si="211"/>
        <v>0</v>
      </c>
      <c r="AC203" s="1293">
        <f t="shared" si="213"/>
        <v>0</v>
      </c>
      <c r="AD203" s="1293">
        <f t="shared" si="216"/>
        <v>50000</v>
      </c>
      <c r="AE203" s="1293">
        <f t="shared" si="212"/>
        <v>0</v>
      </c>
      <c r="AF203" s="1294"/>
      <c r="AG203" s="1294"/>
      <c r="AH203" s="1294">
        <f t="shared" si="214"/>
        <v>0</v>
      </c>
      <c r="AI203" s="1294">
        <f t="shared" si="219"/>
        <v>0</v>
      </c>
      <c r="AJ203" s="1293">
        <f t="shared" si="217"/>
        <v>0</v>
      </c>
      <c r="AK203" s="1294"/>
      <c r="AL203" s="1294"/>
      <c r="AM203" s="1294"/>
      <c r="AN203" s="1294"/>
      <c r="AO203" s="1294"/>
      <c r="AP203" s="1294"/>
      <c r="AQ203" s="1294"/>
      <c r="AR203" s="1294">
        <f t="shared" si="206"/>
        <v>0</v>
      </c>
      <c r="AS203" s="1136"/>
      <c r="AT203" s="668">
        <f t="shared" si="207"/>
        <v>0</v>
      </c>
      <c r="AU203" s="463"/>
      <c r="AV203" s="468">
        <f t="shared" si="208"/>
        <v>0</v>
      </c>
      <c r="AW203" s="468">
        <f t="shared" si="209"/>
        <v>250000</v>
      </c>
      <c r="AX203" s="272"/>
      <c r="AY203" s="272"/>
      <c r="AZ203" s="272"/>
      <c r="BA203" s="272"/>
      <c r="BB203" s="272"/>
      <c r="BC203" s="437">
        <f>'[2]PRIH REBALANS'!$AH$551+'[2]PRIH REBALANS'!$AH$552+'[2]PRIH REBALANS'!$AH$554</f>
        <v>735650</v>
      </c>
      <c r="BD203" s="437"/>
      <c r="BE203" s="658"/>
      <c r="BF203" s="658"/>
    </row>
    <row r="204" spans="1:59" ht="53.45" customHeight="1">
      <c r="A204" s="1572"/>
      <c r="B204" s="1573"/>
      <c r="C204" s="1573"/>
      <c r="D204" s="1574">
        <v>226</v>
      </c>
      <c r="E204" s="1574"/>
      <c r="F204" s="1796" t="s">
        <v>195</v>
      </c>
      <c r="G204" s="1837" t="s">
        <v>691</v>
      </c>
      <c r="H204" s="1575"/>
      <c r="I204" s="1608">
        <v>200000</v>
      </c>
      <c r="J204" s="1575"/>
      <c r="K204" s="1576">
        <f t="shared" si="220"/>
        <v>200000</v>
      </c>
      <c r="L204" s="1577"/>
      <c r="M204" s="1649">
        <v>335650</v>
      </c>
      <c r="N204" s="1302"/>
      <c r="O204" s="1476">
        <f t="shared" ref="O204:O208" si="221">SUM(L204:N204)</f>
        <v>335650</v>
      </c>
      <c r="P204" s="1601"/>
      <c r="Q204" s="1331">
        <v>2292844</v>
      </c>
      <c r="R204" s="1304"/>
      <c r="S204" s="1477"/>
      <c r="T204" s="1601"/>
      <c r="U204" s="2278">
        <v>200000</v>
      </c>
      <c r="V204" s="1304"/>
      <c r="W204" s="1388">
        <f t="shared" ref="W204:W206" si="222">SUM(T204:V204)</f>
        <v>200000</v>
      </c>
      <c r="X204" s="1578">
        <f t="shared" si="215"/>
        <v>59.585878146879189</v>
      </c>
      <c r="Y204" s="2457"/>
      <c r="Z204" s="1136"/>
      <c r="AA204" s="1136"/>
      <c r="AB204" s="1293">
        <f t="shared" si="211"/>
        <v>0</v>
      </c>
      <c r="AC204" s="1293">
        <f t="shared" si="213"/>
        <v>0</v>
      </c>
      <c r="AD204" s="1293">
        <f t="shared" si="216"/>
        <v>-135650</v>
      </c>
      <c r="AE204" s="1293">
        <f t="shared" si="212"/>
        <v>0</v>
      </c>
      <c r="AF204" s="1294"/>
      <c r="AG204" s="1294"/>
      <c r="AH204" s="1294">
        <f t="shared" si="214"/>
        <v>0</v>
      </c>
      <c r="AI204" s="1294">
        <f t="shared" si="219"/>
        <v>0</v>
      </c>
      <c r="AJ204" s="1293">
        <f t="shared" si="217"/>
        <v>0</v>
      </c>
      <c r="AK204" s="1294"/>
      <c r="AL204" s="1294"/>
      <c r="AM204" s="1294"/>
      <c r="AN204" s="1294"/>
      <c r="AO204" s="1294"/>
      <c r="AP204" s="1294"/>
      <c r="AQ204" s="1294"/>
      <c r="AR204" s="1294">
        <f t="shared" si="206"/>
        <v>0</v>
      </c>
      <c r="AS204" s="1136"/>
      <c r="AT204" s="668">
        <f t="shared" si="207"/>
        <v>0</v>
      </c>
      <c r="AU204" s="463"/>
      <c r="AV204" s="468">
        <f t="shared" si="208"/>
        <v>0</v>
      </c>
      <c r="AW204" s="468">
        <f t="shared" si="209"/>
        <v>200000</v>
      </c>
      <c r="AX204" s="272"/>
      <c r="AY204" s="272"/>
      <c r="AZ204" s="272"/>
      <c r="BA204" s="272"/>
      <c r="BB204" s="272"/>
      <c r="BC204" s="437">
        <f>T204+U204+V204+-W204</f>
        <v>0</v>
      </c>
      <c r="BD204" s="437"/>
      <c r="BE204" s="427">
        <f>SUM(BE205:BE211)</f>
        <v>735650</v>
      </c>
      <c r="BF204" s="427">
        <f t="shared" ref="BF204" si="223">SUM(BF205:BF211)</f>
        <v>3576003</v>
      </c>
    </row>
    <row r="205" spans="1:59" ht="53.45" customHeight="1">
      <c r="A205" s="1572"/>
      <c r="B205" s="1573"/>
      <c r="C205" s="1573"/>
      <c r="D205" s="1574"/>
      <c r="E205" s="1574"/>
      <c r="F205" s="1796" t="s">
        <v>306</v>
      </c>
      <c r="G205" s="1837" t="s">
        <v>307</v>
      </c>
      <c r="H205" s="1575"/>
      <c r="I205" s="1608">
        <v>110550</v>
      </c>
      <c r="J205" s="1575"/>
      <c r="K205" s="1576">
        <f t="shared" si="220"/>
        <v>110550</v>
      </c>
      <c r="L205" s="1577"/>
      <c r="M205" s="1331"/>
      <c r="N205" s="1302"/>
      <c r="O205" s="1476">
        <f t="shared" si="221"/>
        <v>0</v>
      </c>
      <c r="P205" s="1601"/>
      <c r="Q205" s="1303"/>
      <c r="R205" s="1304"/>
      <c r="S205" s="1477"/>
      <c r="T205" s="1601"/>
      <c r="U205" s="1303"/>
      <c r="V205" s="1304"/>
      <c r="W205" s="1387">
        <f t="shared" si="222"/>
        <v>0</v>
      </c>
      <c r="X205" s="1578"/>
      <c r="Y205" s="2457"/>
      <c r="Z205" s="1136"/>
      <c r="AA205" s="1136"/>
      <c r="AB205" s="1293">
        <f t="shared" si="211"/>
        <v>0</v>
      </c>
      <c r="AC205" s="1293">
        <f t="shared" si="213"/>
        <v>0</v>
      </c>
      <c r="AD205" s="1293">
        <f t="shared" si="216"/>
        <v>0</v>
      </c>
      <c r="AE205" s="1293">
        <f t="shared" si="212"/>
        <v>0</v>
      </c>
      <c r="AF205" s="1294"/>
      <c r="AG205" s="1294"/>
      <c r="AH205" s="1294">
        <f t="shared" si="214"/>
        <v>0</v>
      </c>
      <c r="AI205" s="1294">
        <f t="shared" si="219"/>
        <v>0</v>
      </c>
      <c r="AJ205" s="1293">
        <f t="shared" si="217"/>
        <v>0</v>
      </c>
      <c r="AK205" s="1294"/>
      <c r="AL205" s="1294"/>
      <c r="AM205" s="1294"/>
      <c r="AN205" s="1294"/>
      <c r="AO205" s="1294"/>
      <c r="AP205" s="1294"/>
      <c r="AQ205" s="1294"/>
      <c r="AR205" s="1294" t="e">
        <f>#REF!+#REF!+#REF!-#REF!</f>
        <v>#REF!</v>
      </c>
      <c r="AS205" s="1136"/>
      <c r="AT205" s="668" t="e">
        <f>#REF!+#REF!+#REF!-#REF!</f>
        <v>#REF!</v>
      </c>
      <c r="AU205" s="463"/>
      <c r="AV205" s="468" t="e">
        <f>#REF!+#REF!+#REF!-#REF!</f>
        <v>#REF!</v>
      </c>
      <c r="AW205" s="468" t="e">
        <f>#REF!-AV205</f>
        <v>#REF!</v>
      </c>
      <c r="AX205" s="463"/>
      <c r="AY205" s="463"/>
      <c r="AZ205" s="463"/>
      <c r="BA205" s="463"/>
      <c r="BB205" s="463"/>
      <c r="BC205" s="437" t="e">
        <f>#REF!+#REF!+#REF!+-#REF!</f>
        <v>#REF!</v>
      </c>
      <c r="BD205" s="437"/>
      <c r="BE205" s="659">
        <v>200000</v>
      </c>
      <c r="BF205" s="660"/>
    </row>
    <row r="206" spans="1:59" ht="53.45" customHeight="1">
      <c r="A206" s="1572"/>
      <c r="B206" s="1573"/>
      <c r="C206" s="1573"/>
      <c r="D206" s="1574">
        <v>227</v>
      </c>
      <c r="E206" s="1574"/>
      <c r="F206" s="1796" t="s">
        <v>195</v>
      </c>
      <c r="G206" s="1837" t="s">
        <v>308</v>
      </c>
      <c r="H206" s="1575"/>
      <c r="I206" s="1608">
        <v>205000</v>
      </c>
      <c r="J206" s="1575"/>
      <c r="K206" s="1576">
        <f t="shared" si="220"/>
        <v>205000</v>
      </c>
      <c r="L206" s="1577"/>
      <c r="M206" s="1650">
        <v>200000</v>
      </c>
      <c r="N206" s="1302"/>
      <c r="O206" s="1476">
        <f t="shared" si="221"/>
        <v>200000</v>
      </c>
      <c r="P206" s="1601"/>
      <c r="Q206" s="1303"/>
      <c r="R206" s="1304"/>
      <c r="S206" s="1477"/>
      <c r="T206" s="1601"/>
      <c r="U206" s="1362">
        <v>200000</v>
      </c>
      <c r="V206" s="1304"/>
      <c r="W206" s="1390">
        <f t="shared" si="222"/>
        <v>200000</v>
      </c>
      <c r="X206" s="1578">
        <f t="shared" si="215"/>
        <v>100</v>
      </c>
      <c r="Y206" s="2457"/>
      <c r="Z206" s="1136"/>
      <c r="AA206" s="1136"/>
      <c r="AB206" s="1293">
        <f t="shared" si="211"/>
        <v>0</v>
      </c>
      <c r="AC206" s="1293">
        <f t="shared" si="213"/>
        <v>0</v>
      </c>
      <c r="AD206" s="1293">
        <f t="shared" si="216"/>
        <v>0</v>
      </c>
      <c r="AE206" s="1293">
        <f t="shared" si="212"/>
        <v>0</v>
      </c>
      <c r="AF206" s="1294"/>
      <c r="AG206" s="1294"/>
      <c r="AH206" s="1294">
        <f t="shared" si="214"/>
        <v>0</v>
      </c>
      <c r="AI206" s="1294">
        <f t="shared" si="219"/>
        <v>0</v>
      </c>
      <c r="AJ206" s="1293">
        <f t="shared" si="217"/>
        <v>0</v>
      </c>
      <c r="AK206" s="1294"/>
      <c r="AL206" s="1294"/>
      <c r="AM206" s="1294"/>
      <c r="AN206" s="1294"/>
      <c r="AO206" s="1294"/>
      <c r="AP206" s="1294"/>
      <c r="AQ206" s="1294"/>
      <c r="AR206" s="1294" t="e">
        <f>#REF!+#REF!+#REF!-#REF!</f>
        <v>#REF!</v>
      </c>
      <c r="AS206" s="1136"/>
      <c r="AT206" s="668" t="e">
        <f>#REF!+#REF!+#REF!-#REF!</f>
        <v>#REF!</v>
      </c>
      <c r="AU206" s="463"/>
      <c r="AV206" s="468" t="e">
        <f>#REF!+#REF!+#REF!-#REF!</f>
        <v>#REF!</v>
      </c>
      <c r="AW206" s="468" t="e">
        <f>#REF!-AV206</f>
        <v>#REF!</v>
      </c>
      <c r="AX206" s="272"/>
      <c r="AY206" s="272"/>
      <c r="AZ206" s="272"/>
      <c r="BA206" s="272"/>
      <c r="BB206" s="272"/>
      <c r="BC206" s="437" t="e">
        <f>#REF!+#REF!+#REF!+-#REF!</f>
        <v>#REF!</v>
      </c>
      <c r="BD206" s="437"/>
      <c r="BE206" s="659">
        <v>335650</v>
      </c>
      <c r="BF206" s="660"/>
    </row>
    <row r="207" spans="1:59" ht="53.45" customHeight="1">
      <c r="A207" s="1572"/>
      <c r="B207" s="1573"/>
      <c r="C207" s="1573"/>
      <c r="D207" s="1574">
        <v>226</v>
      </c>
      <c r="E207" s="1574"/>
      <c r="F207" s="1796" t="s">
        <v>195</v>
      </c>
      <c r="G207" s="1837" t="s">
        <v>715</v>
      </c>
      <c r="H207" s="1575"/>
      <c r="I207" s="1608">
        <v>2289496</v>
      </c>
      <c r="J207" s="1575"/>
      <c r="K207" s="1576">
        <f t="shared" si="220"/>
        <v>2289496</v>
      </c>
      <c r="L207" s="1577"/>
      <c r="M207" s="1649">
        <v>3012844</v>
      </c>
      <c r="N207" s="1302"/>
      <c r="O207" s="1476">
        <f t="shared" si="221"/>
        <v>3012844</v>
      </c>
      <c r="P207" s="1577"/>
      <c r="Q207" s="1331"/>
      <c r="R207" s="1302"/>
      <c r="S207" s="1476"/>
      <c r="T207" s="1601"/>
      <c r="U207" s="1303"/>
      <c r="V207" s="1304"/>
      <c r="W207" s="1327"/>
      <c r="X207" s="1578">
        <f t="shared" si="215"/>
        <v>0</v>
      </c>
      <c r="Y207" s="2457"/>
      <c r="Z207" s="1136"/>
      <c r="AA207" s="1136"/>
      <c r="AB207" s="1293">
        <f t="shared" si="211"/>
        <v>0</v>
      </c>
      <c r="AC207" s="1293">
        <f t="shared" si="213"/>
        <v>0</v>
      </c>
      <c r="AD207" s="1293">
        <f t="shared" si="216"/>
        <v>-3012844</v>
      </c>
      <c r="AE207" s="1293">
        <f t="shared" si="212"/>
        <v>0</v>
      </c>
      <c r="AF207" s="1294"/>
      <c r="AG207" s="1294"/>
      <c r="AH207" s="1294">
        <f t="shared" si="214"/>
        <v>0</v>
      </c>
      <c r="AI207" s="1294">
        <f t="shared" si="219"/>
        <v>0</v>
      </c>
      <c r="AJ207" s="1293">
        <f t="shared" si="217"/>
        <v>0</v>
      </c>
      <c r="AK207" s="1294"/>
      <c r="AL207" s="1294"/>
      <c r="AM207" s="1294"/>
      <c r="AN207" s="1294"/>
      <c r="AO207" s="1294"/>
      <c r="AP207" s="1294"/>
      <c r="AQ207" s="1294"/>
      <c r="AR207" s="1294" t="e">
        <f>#REF!+#REF!+#REF!-#REF!</f>
        <v>#REF!</v>
      </c>
      <c r="AS207" s="1136"/>
      <c r="AT207" s="668" t="e">
        <f>#REF!+#REF!+#REF!-#REF!</f>
        <v>#REF!</v>
      </c>
      <c r="AU207" s="463"/>
      <c r="AV207" s="468" t="e">
        <f>#REF!+#REF!+#REF!-#REF!</f>
        <v>#REF!</v>
      </c>
      <c r="AW207" s="468" t="e">
        <f>#REF!-AV207</f>
        <v>#REF!</v>
      </c>
      <c r="AX207" s="272"/>
      <c r="AY207" s="272"/>
      <c r="AZ207" s="272"/>
      <c r="BA207" s="272"/>
      <c r="BB207" s="272"/>
      <c r="BC207" s="437" t="e">
        <f>#REF!+#REF!+#REF!+-#REF!</f>
        <v>#REF!</v>
      </c>
      <c r="BD207" s="437"/>
      <c r="BE207" s="660"/>
      <c r="BF207" s="660"/>
    </row>
    <row r="208" spans="1:59" ht="53.45" customHeight="1">
      <c r="A208" s="1572"/>
      <c r="B208" s="1573"/>
      <c r="C208" s="1573"/>
      <c r="D208" s="1574" t="s">
        <v>1575</v>
      </c>
      <c r="E208" s="1574"/>
      <c r="F208" s="1796"/>
      <c r="G208" s="1837" t="s">
        <v>716</v>
      </c>
      <c r="H208" s="1575"/>
      <c r="I208" s="1608">
        <v>248548</v>
      </c>
      <c r="J208" s="1575"/>
      <c r="K208" s="1576">
        <f t="shared" si="220"/>
        <v>248548</v>
      </c>
      <c r="L208" s="1577"/>
      <c r="M208" s="1650">
        <v>563160</v>
      </c>
      <c r="N208" s="1302"/>
      <c r="O208" s="1476">
        <f t="shared" si="221"/>
        <v>563160</v>
      </c>
      <c r="P208" s="1577"/>
      <c r="Q208" s="1331"/>
      <c r="R208" s="1302"/>
      <c r="S208" s="1476"/>
      <c r="T208" s="1601"/>
      <c r="U208" s="1303"/>
      <c r="V208" s="1304"/>
      <c r="W208" s="1327"/>
      <c r="X208" s="1578">
        <f t="shared" si="215"/>
        <v>0</v>
      </c>
      <c r="Y208" s="2457"/>
      <c r="Z208" s="1136"/>
      <c r="AA208" s="1136"/>
      <c r="AB208" s="1293">
        <f t="shared" si="211"/>
        <v>0</v>
      </c>
      <c r="AC208" s="1293">
        <f t="shared" si="213"/>
        <v>0</v>
      </c>
      <c r="AD208" s="1293">
        <f t="shared" si="216"/>
        <v>-563160</v>
      </c>
      <c r="AE208" s="1293">
        <f t="shared" si="212"/>
        <v>0</v>
      </c>
      <c r="AF208" s="1294"/>
      <c r="AG208" s="1294"/>
      <c r="AH208" s="1294">
        <f t="shared" si="214"/>
        <v>0</v>
      </c>
      <c r="AI208" s="1294">
        <f t="shared" si="219"/>
        <v>0</v>
      </c>
      <c r="AJ208" s="1293">
        <f t="shared" si="217"/>
        <v>0</v>
      </c>
      <c r="AK208" s="1294"/>
      <c r="AL208" s="1294"/>
      <c r="AM208" s="1294"/>
      <c r="AN208" s="1294"/>
      <c r="AO208" s="1294"/>
      <c r="AP208" s="1294"/>
      <c r="AQ208" s="1294"/>
      <c r="AR208" s="1294" t="e">
        <f>#REF!+#REF!+#REF!-#REF!</f>
        <v>#REF!</v>
      </c>
      <c r="AS208" s="1136"/>
      <c r="AT208" s="668" t="e">
        <f>#REF!+#REF!+#REF!-#REF!</f>
        <v>#REF!</v>
      </c>
      <c r="AU208" s="463"/>
      <c r="AV208" s="468" t="e">
        <f>#REF!+#REF!+#REF!-#REF!</f>
        <v>#REF!</v>
      </c>
      <c r="AW208" s="468" t="e">
        <f>#REF!-AV208</f>
        <v>#REF!</v>
      </c>
      <c r="AX208" s="272"/>
      <c r="AY208" s="272"/>
      <c r="AZ208" s="272"/>
      <c r="BA208" s="272"/>
      <c r="BB208" s="272"/>
      <c r="BC208" s="437" t="e">
        <f>#REF!+#REF!+#REF!+-#REF!</f>
        <v>#REF!</v>
      </c>
      <c r="BD208" s="437"/>
      <c r="BE208" s="661">
        <v>200000</v>
      </c>
      <c r="BF208" s="662"/>
    </row>
    <row r="209" spans="1:59" ht="39" hidden="1" customHeight="1">
      <c r="A209" s="1572"/>
      <c r="B209" s="1573"/>
      <c r="C209" s="1573"/>
      <c r="D209" s="1574">
        <v>227</v>
      </c>
      <c r="E209" s="1574"/>
      <c r="F209" s="1796" t="s">
        <v>195</v>
      </c>
      <c r="G209" s="1837" t="s">
        <v>717</v>
      </c>
      <c r="H209" s="1575"/>
      <c r="I209" s="1608">
        <v>3916</v>
      </c>
      <c r="J209" s="1575"/>
      <c r="K209" s="1576">
        <f t="shared" si="220"/>
        <v>3916</v>
      </c>
      <c r="L209" s="1577"/>
      <c r="M209" s="1331"/>
      <c r="N209" s="1302"/>
      <c r="O209" s="1476"/>
      <c r="P209" s="1577"/>
      <c r="Q209" s="1331"/>
      <c r="R209" s="1302"/>
      <c r="S209" s="1476"/>
      <c r="T209" s="1601"/>
      <c r="U209" s="1303"/>
      <c r="V209" s="1304"/>
      <c r="W209" s="1327"/>
      <c r="X209" s="1578" t="e">
        <f t="shared" si="215"/>
        <v>#DIV/0!</v>
      </c>
      <c r="Y209" s="2457"/>
      <c r="Z209" s="1136"/>
      <c r="AA209" s="1136"/>
      <c r="AB209" s="1293">
        <f t="shared" si="211"/>
        <v>0</v>
      </c>
      <c r="AC209" s="1293">
        <f t="shared" si="213"/>
        <v>0</v>
      </c>
      <c r="AD209" s="1293">
        <f t="shared" si="216"/>
        <v>0</v>
      </c>
      <c r="AE209" s="1293">
        <f t="shared" si="212"/>
        <v>0</v>
      </c>
      <c r="AF209" s="1294"/>
      <c r="AG209" s="1294"/>
      <c r="AH209" s="1294">
        <f t="shared" si="214"/>
        <v>0</v>
      </c>
      <c r="AI209" s="1294">
        <f t="shared" si="219"/>
        <v>0</v>
      </c>
      <c r="AJ209" s="1293">
        <f t="shared" si="217"/>
        <v>0</v>
      </c>
      <c r="AK209" s="1294"/>
      <c r="AL209" s="1294"/>
      <c r="AM209" s="1294"/>
      <c r="AN209" s="1294"/>
      <c r="AO209" s="1294"/>
      <c r="AP209" s="1294"/>
      <c r="AQ209" s="1294"/>
      <c r="AR209" s="1294" t="e">
        <f>#REF!+#REF!+#REF!-#REF!</f>
        <v>#REF!</v>
      </c>
      <c r="AS209" s="1136"/>
      <c r="AT209" s="668" t="e">
        <f>#REF!+#REF!+#REF!-#REF!</f>
        <v>#REF!</v>
      </c>
      <c r="AU209" s="463"/>
      <c r="AV209" s="468" t="e">
        <f>#REF!+#REF!+#REF!-#REF!</f>
        <v>#REF!</v>
      </c>
      <c r="AW209" s="468" t="e">
        <f>#REF!-AV209</f>
        <v>#REF!</v>
      </c>
      <c r="AX209" s="463"/>
      <c r="AY209" s="463"/>
      <c r="AZ209" s="463"/>
      <c r="BA209" s="463"/>
      <c r="BB209" s="463"/>
      <c r="BC209" s="437" t="e">
        <f>#REF!+#REF!+#REF!+-#REF!</f>
        <v>#REF!</v>
      </c>
      <c r="BD209" s="437"/>
      <c r="BE209" s="663"/>
      <c r="BF209" s="663">
        <v>3012844</v>
      </c>
    </row>
    <row r="210" spans="1:59" ht="39" customHeight="1">
      <c r="A210" s="1594" t="s">
        <v>309</v>
      </c>
      <c r="B210" s="1595" t="s">
        <v>204</v>
      </c>
      <c r="C210" s="1595" t="s">
        <v>204</v>
      </c>
      <c r="D210" s="1596">
        <v>111</v>
      </c>
      <c r="E210" s="1596"/>
      <c r="F210" s="1811"/>
      <c r="G210" s="1687" t="s">
        <v>692</v>
      </c>
      <c r="H210" s="1619" t="e">
        <f>SUM(H212,H245,#REF!,H248,)</f>
        <v>#REF!</v>
      </c>
      <c r="I210" s="1619">
        <f>SUM(I246:I248)</f>
        <v>1198216</v>
      </c>
      <c r="J210" s="1619" t="e">
        <f>SUM(J212,J245,#REF!,J248,)</f>
        <v>#REF!</v>
      </c>
      <c r="K210" s="1585">
        <f>SUM(K212,K245:K248)</f>
        <v>3910766</v>
      </c>
      <c r="L210" s="1620">
        <f>SUM(L212,L245,L248,L244)</f>
        <v>7653200</v>
      </c>
      <c r="M210" s="1313">
        <f>SUM(M246:M248)</f>
        <v>2522524</v>
      </c>
      <c r="N210" s="1314">
        <f>SUM(N212,N245,N248,)</f>
        <v>0</v>
      </c>
      <c r="O210" s="1335">
        <f>SUM(O212,O245:O248,O244)</f>
        <v>10175724</v>
      </c>
      <c r="P210" s="1620">
        <f>SUM(P213+P221+P223+P245+P248+P244)</f>
        <v>4002500</v>
      </c>
      <c r="Q210" s="1313">
        <f>SUM(Q246+Q247+Q248)</f>
        <v>2100000</v>
      </c>
      <c r="R210" s="1314">
        <v>0</v>
      </c>
      <c r="S210" s="1335">
        <f>SUM(S212+S244+S245+S248)</f>
        <v>4002500</v>
      </c>
      <c r="T210" s="1620">
        <f>SUM(T212+T245+T248+T244)</f>
        <v>3890700</v>
      </c>
      <c r="U210" s="1313">
        <f>SUM(U246:U248)</f>
        <v>2000000</v>
      </c>
      <c r="V210" s="1314">
        <v>0</v>
      </c>
      <c r="W210" s="1335">
        <f>SUM(W212,W245:W248,W244)</f>
        <v>5890700</v>
      </c>
      <c r="X210" s="1598">
        <f t="shared" si="215"/>
        <v>57.889738361614363</v>
      </c>
      <c r="Y210" s="758">
        <f>'[1]PRIH REBALANS'!$AK$539</f>
        <v>5890700</v>
      </c>
      <c r="Z210" s="1135"/>
      <c r="AA210" s="1135">
        <f>'[9]PRIH REBALANS'!$AK$539</f>
        <v>5890700</v>
      </c>
      <c r="AB210" s="1293">
        <f t="shared" si="211"/>
        <v>0</v>
      </c>
      <c r="AC210" s="1293">
        <f t="shared" si="213"/>
        <v>0</v>
      </c>
      <c r="AD210" s="1293">
        <f t="shared" si="216"/>
        <v>-4285024</v>
      </c>
      <c r="AE210" s="1293">
        <f t="shared" si="212"/>
        <v>0</v>
      </c>
      <c r="AF210" s="1293"/>
      <c r="AG210" s="1293"/>
      <c r="AH210" s="1294">
        <f t="shared" si="214"/>
        <v>-3762500</v>
      </c>
      <c r="AI210" s="1294">
        <f t="shared" si="219"/>
        <v>0</v>
      </c>
      <c r="AJ210" s="1293">
        <f t="shared" si="217"/>
        <v>0</v>
      </c>
      <c r="AK210" s="1294"/>
      <c r="AL210" s="1294"/>
      <c r="AM210" s="1294"/>
      <c r="AN210" s="1294"/>
      <c r="AO210" s="1294"/>
      <c r="AP210" s="1294"/>
      <c r="AQ210" s="1294"/>
      <c r="AR210" s="1294">
        <f t="shared" ref="AR210:AR241" si="224">T210+U210+V210-W210</f>
        <v>0</v>
      </c>
      <c r="AS210" s="1135">
        <f>SUM(AS214,AS217,AS221,AS223,W244:W248)</f>
        <v>5890700</v>
      </c>
      <c r="AT210" s="668">
        <f t="shared" ref="AT210:AT241" si="225">T210+U210+V210-W210</f>
        <v>0</v>
      </c>
      <c r="AU210" s="668">
        <f>SUM(AU214,AU217,AU221,AU223,W244:W248)</f>
        <v>5890700</v>
      </c>
      <c r="AV210" s="468">
        <f>'[3]PRIH REBALANS'!$AK$558</f>
        <v>10175721.440000001</v>
      </c>
      <c r="AW210" s="468">
        <f t="shared" ref="AW210:AW241" si="226">W210-AV210</f>
        <v>-4285021.4400000013</v>
      </c>
      <c r="AX210" s="668"/>
      <c r="AY210" s="668"/>
      <c r="AZ210" s="668"/>
      <c r="BA210" s="668"/>
      <c r="BB210" s="668"/>
      <c r="BC210" s="437">
        <f>'[2]PRIH REBALANS'!$AK$558</f>
        <v>10175721.440000001</v>
      </c>
      <c r="BD210" s="437">
        <f>BC210-W210</f>
        <v>4285021.4400000013</v>
      </c>
      <c r="BE210" s="662"/>
      <c r="BF210" s="662"/>
      <c r="BG210" s="469">
        <f>SUM(BG214:BG223,W244:W248)</f>
        <v>5890700</v>
      </c>
    </row>
    <row r="211" spans="1:59" ht="39" customHeight="1">
      <c r="A211" s="1594"/>
      <c r="B211" s="1595"/>
      <c r="C211" s="1595"/>
      <c r="D211" s="1596"/>
      <c r="E211" s="1596"/>
      <c r="F211" s="1811"/>
      <c r="G211" s="1834" t="s">
        <v>245</v>
      </c>
      <c r="H211" s="1619">
        <v>46</v>
      </c>
      <c r="I211" s="1619"/>
      <c r="J211" s="1619"/>
      <c r="K211" s="1585"/>
      <c r="L211" s="1620"/>
      <c r="M211" s="1313"/>
      <c r="N211" s="1314"/>
      <c r="O211" s="1335"/>
      <c r="P211" s="1620"/>
      <c r="Q211" s="1313"/>
      <c r="R211" s="1314"/>
      <c r="S211" s="1335"/>
      <c r="T211" s="1620"/>
      <c r="U211" s="1313"/>
      <c r="V211" s="1314"/>
      <c r="W211" s="1315"/>
      <c r="X211" s="1598"/>
      <c r="Y211" s="758"/>
      <c r="Z211" s="1135"/>
      <c r="AA211" s="1135"/>
      <c r="AB211" s="1293">
        <f t="shared" si="211"/>
        <v>0</v>
      </c>
      <c r="AC211" s="1293">
        <f t="shared" si="213"/>
        <v>0</v>
      </c>
      <c r="AD211" s="1293">
        <f t="shared" si="216"/>
        <v>0</v>
      </c>
      <c r="AE211" s="1293">
        <f t="shared" si="212"/>
        <v>0</v>
      </c>
      <c r="AF211" s="1293"/>
      <c r="AG211" s="1293"/>
      <c r="AH211" s="1294">
        <f t="shared" si="214"/>
        <v>0</v>
      </c>
      <c r="AI211" s="1294">
        <f t="shared" si="219"/>
        <v>0</v>
      </c>
      <c r="AJ211" s="1293">
        <f t="shared" si="217"/>
        <v>0</v>
      </c>
      <c r="AK211" s="1294"/>
      <c r="AL211" s="1294"/>
      <c r="AM211" s="1294"/>
      <c r="AN211" s="1294"/>
      <c r="AO211" s="1294"/>
      <c r="AP211" s="1294"/>
      <c r="AQ211" s="1294"/>
      <c r="AR211" s="1294">
        <f t="shared" si="224"/>
        <v>0</v>
      </c>
      <c r="AS211" s="1135"/>
      <c r="AT211" s="668">
        <f t="shared" si="225"/>
        <v>0</v>
      </c>
      <c r="AU211" s="668"/>
      <c r="AV211" s="468">
        <f t="shared" ref="AV211:AV248" si="227">T211+U211+V211-W211</f>
        <v>0</v>
      </c>
      <c r="AW211" s="468">
        <f t="shared" si="226"/>
        <v>0</v>
      </c>
      <c r="AX211" s="668"/>
      <c r="AY211" s="668"/>
      <c r="AZ211" s="668"/>
      <c r="BA211" s="668"/>
      <c r="BB211" s="668"/>
      <c r="BC211" s="437">
        <f>T211+U211+V211+-W211</f>
        <v>0</v>
      </c>
      <c r="BD211" s="437">
        <f>BC211-W211</f>
        <v>0</v>
      </c>
      <c r="BE211" s="664"/>
      <c r="BF211" s="664">
        <v>563159</v>
      </c>
    </row>
    <row r="212" spans="1:59" ht="39" customHeight="1">
      <c r="A212" s="1376"/>
      <c r="B212" s="1377"/>
      <c r="C212" s="1377"/>
      <c r="D212" s="1378" t="s">
        <v>319</v>
      </c>
      <c r="E212" s="1378" t="s">
        <v>206</v>
      </c>
      <c r="F212" s="1795"/>
      <c r="G212" s="1835" t="s">
        <v>208</v>
      </c>
      <c r="H212" s="1380">
        <f>SUM(H213,H221,H223,H247)</f>
        <v>2402550</v>
      </c>
      <c r="I212" s="1380"/>
      <c r="J212" s="1380">
        <f>SUM(J213,J221,J223,J246)</f>
        <v>0</v>
      </c>
      <c r="K212" s="1381">
        <f>SUM(K213,K221,K223,)</f>
        <v>2402550</v>
      </c>
      <c r="L212" s="1601">
        <f>SUM(L213,L221,L223,L247)</f>
        <v>7223200</v>
      </c>
      <c r="M212" s="1303"/>
      <c r="N212" s="1304">
        <f>SUM(N213,N221,N223,N246)</f>
        <v>0</v>
      </c>
      <c r="O212" s="1336">
        <f>SUM(O213,O221,O223,)</f>
        <v>7223200</v>
      </c>
      <c r="P212" s="1601">
        <f>SUM(P213+P221+P223+P247)</f>
        <v>3552500</v>
      </c>
      <c r="Q212" s="1303"/>
      <c r="R212" s="1304"/>
      <c r="S212" s="1336">
        <f>SUM(S213+S221+S223)</f>
        <v>3552500</v>
      </c>
      <c r="T212" s="1601">
        <f>SUM(T213,T221,T223,T247)</f>
        <v>3490700</v>
      </c>
      <c r="U212" s="1303"/>
      <c r="V212" s="1304">
        <f>SUM(V213,V221,V223,V246)</f>
        <v>0</v>
      </c>
      <c r="W212" s="1336">
        <f>SUM(W213,W221,W223,)</f>
        <v>3490700</v>
      </c>
      <c r="X212" s="1578">
        <f t="shared" si="215"/>
        <v>48.326226603167569</v>
      </c>
      <c r="Y212" s="2457">
        <f>'[1]PRIH REBALANS'!$AK$541</f>
        <v>3490700</v>
      </c>
      <c r="Z212" s="1136"/>
      <c r="AA212" s="1136"/>
      <c r="AB212" s="1293">
        <f t="shared" si="211"/>
        <v>0</v>
      </c>
      <c r="AC212" s="1293">
        <f t="shared" si="213"/>
        <v>0</v>
      </c>
      <c r="AD212" s="1293">
        <f t="shared" si="216"/>
        <v>-3732500</v>
      </c>
      <c r="AE212" s="1293">
        <f t="shared" si="212"/>
        <v>0</v>
      </c>
      <c r="AF212" s="1294"/>
      <c r="AG212" s="1294"/>
      <c r="AH212" s="1294">
        <f t="shared" si="214"/>
        <v>-3732500</v>
      </c>
      <c r="AI212" s="1294">
        <f t="shared" si="219"/>
        <v>0</v>
      </c>
      <c r="AJ212" s="1293">
        <f t="shared" si="217"/>
        <v>0</v>
      </c>
      <c r="AK212" s="1294"/>
      <c r="AL212" s="1294"/>
      <c r="AM212" s="1294"/>
      <c r="AN212" s="1294"/>
      <c r="AO212" s="1294"/>
      <c r="AP212" s="1294"/>
      <c r="AQ212" s="1294"/>
      <c r="AR212" s="1294">
        <f t="shared" si="224"/>
        <v>0</v>
      </c>
      <c r="AS212" s="1136"/>
      <c r="AT212" s="668">
        <f t="shared" si="225"/>
        <v>0</v>
      </c>
      <c r="AU212" s="463"/>
      <c r="AV212" s="468">
        <f t="shared" si="227"/>
        <v>0</v>
      </c>
      <c r="AW212" s="468">
        <f t="shared" si="226"/>
        <v>3490700</v>
      </c>
      <c r="AX212" s="463"/>
      <c r="AY212" s="463"/>
      <c r="AZ212" s="463"/>
      <c r="BA212" s="463"/>
      <c r="BB212" s="463"/>
      <c r="BC212" s="437">
        <f>'[2]PRIH REBALANS'!$AK$560</f>
        <v>7223200</v>
      </c>
      <c r="BD212" s="437">
        <f>BC212-W212</f>
        <v>3732500</v>
      </c>
      <c r="BE212" s="646"/>
      <c r="BF212" s="646">
        <v>563159</v>
      </c>
    </row>
    <row r="213" spans="1:59" ht="39" customHeight="1">
      <c r="A213" s="1572"/>
      <c r="B213" s="1573"/>
      <c r="C213" s="1573"/>
      <c r="D213" s="1378" t="s">
        <v>319</v>
      </c>
      <c r="E213" s="1378" t="s">
        <v>206</v>
      </c>
      <c r="F213" s="1795">
        <v>611000</v>
      </c>
      <c r="G213" s="1836" t="s">
        <v>693</v>
      </c>
      <c r="H213" s="1380">
        <f t="shared" ref="H213:O213" si="228">SUM(H214,H217)</f>
        <v>1136300</v>
      </c>
      <c r="I213" s="1380">
        <f t="shared" si="228"/>
        <v>0</v>
      </c>
      <c r="J213" s="1380">
        <f t="shared" si="228"/>
        <v>0</v>
      </c>
      <c r="K213" s="1381">
        <f t="shared" si="228"/>
        <v>1136300</v>
      </c>
      <c r="L213" s="1601">
        <f t="shared" si="228"/>
        <v>1131700</v>
      </c>
      <c r="M213" s="1303">
        <f t="shared" si="228"/>
        <v>0</v>
      </c>
      <c r="N213" s="1304">
        <f t="shared" si="228"/>
        <v>0</v>
      </c>
      <c r="O213" s="1336">
        <f t="shared" si="228"/>
        <v>1131700</v>
      </c>
      <c r="P213" s="1601">
        <f>SUM(P214+P217)</f>
        <v>1193500</v>
      </c>
      <c r="Q213" s="1303"/>
      <c r="R213" s="1304"/>
      <c r="S213" s="1336">
        <f>SUM(S214+S217)</f>
        <v>1193500</v>
      </c>
      <c r="T213" s="1601">
        <f t="shared" ref="T213:W213" si="229">SUM(T214,T217)</f>
        <v>1135200</v>
      </c>
      <c r="U213" s="1303">
        <f t="shared" si="229"/>
        <v>0</v>
      </c>
      <c r="V213" s="1304">
        <f t="shared" si="229"/>
        <v>0</v>
      </c>
      <c r="W213" s="1336">
        <f t="shared" si="229"/>
        <v>1135200</v>
      </c>
      <c r="X213" s="1578">
        <f t="shared" si="215"/>
        <v>100.30926924096492</v>
      </c>
      <c r="Y213" s="2457">
        <f>'[1]PRIH REBALANS'!$AK$542</f>
        <v>1135200</v>
      </c>
      <c r="Z213" s="1136"/>
      <c r="AA213" s="1136"/>
      <c r="AB213" s="1293">
        <f t="shared" si="211"/>
        <v>0</v>
      </c>
      <c r="AC213" s="1293">
        <f t="shared" si="213"/>
        <v>0</v>
      </c>
      <c r="AD213" s="1293">
        <f t="shared" si="216"/>
        <v>3500</v>
      </c>
      <c r="AE213" s="1293">
        <f t="shared" si="212"/>
        <v>0</v>
      </c>
      <c r="AF213" s="1294"/>
      <c r="AG213" s="1294"/>
      <c r="AH213" s="1294">
        <f t="shared" si="214"/>
        <v>3500</v>
      </c>
      <c r="AI213" s="1294">
        <f t="shared" si="219"/>
        <v>0</v>
      </c>
      <c r="AJ213" s="1293">
        <f t="shared" si="217"/>
        <v>0</v>
      </c>
      <c r="AK213" s="1294"/>
      <c r="AL213" s="1294"/>
      <c r="AM213" s="1294"/>
      <c r="AN213" s="1294"/>
      <c r="AO213" s="1294"/>
      <c r="AP213" s="1294"/>
      <c r="AQ213" s="1294"/>
      <c r="AR213" s="1294">
        <f t="shared" si="224"/>
        <v>0</v>
      </c>
      <c r="AS213" s="1136"/>
      <c r="AT213" s="668">
        <f t="shared" si="225"/>
        <v>0</v>
      </c>
      <c r="AU213" s="463"/>
      <c r="AV213" s="468">
        <f t="shared" si="227"/>
        <v>0</v>
      </c>
      <c r="AW213" s="468">
        <f t="shared" si="226"/>
        <v>1135200</v>
      </c>
      <c r="AX213" s="463"/>
      <c r="AY213" s="463"/>
      <c r="AZ213" s="463"/>
      <c r="BA213" s="463"/>
      <c r="BB213" s="463"/>
      <c r="BC213" s="437">
        <f>'[2]PRIH REBALANS'!$AK$561</f>
        <v>1131700</v>
      </c>
      <c r="BD213" s="437">
        <f>BC213-W213</f>
        <v>-3500</v>
      </c>
      <c r="BE213">
        <f t="shared" ref="BE213:BE244" si="230">W214/O214*100</f>
        <v>100.29469548133596</v>
      </c>
      <c r="BF213" s="437">
        <f t="shared" ref="BF213:BF244" si="231">BE213-X213</f>
        <v>-1.4573759628959237E-2</v>
      </c>
    </row>
    <row r="214" spans="1:59" ht="39" customHeight="1">
      <c r="A214" s="1572"/>
      <c r="B214" s="1573"/>
      <c r="C214" s="1573"/>
      <c r="D214" s="1378" t="s">
        <v>319</v>
      </c>
      <c r="E214" s="1378"/>
      <c r="F214" s="1795"/>
      <c r="G214" s="1836" t="s">
        <v>674</v>
      </c>
      <c r="H214" s="1380">
        <f t="shared" ref="H214:K214" si="232">SUM(H215:H216)</f>
        <v>1025000</v>
      </c>
      <c r="I214" s="1380">
        <f t="shared" si="232"/>
        <v>0</v>
      </c>
      <c r="J214" s="1380">
        <f t="shared" si="232"/>
        <v>0</v>
      </c>
      <c r="K214" s="1381">
        <f t="shared" si="232"/>
        <v>1025000</v>
      </c>
      <c r="L214" s="1601">
        <f t="shared" ref="L214:O214" si="233">SUM(L215:L216)</f>
        <v>1018000</v>
      </c>
      <c r="M214" s="1303">
        <f t="shared" si="233"/>
        <v>0</v>
      </c>
      <c r="N214" s="1304">
        <f t="shared" si="233"/>
        <v>0</v>
      </c>
      <c r="O214" s="1336">
        <f t="shared" si="233"/>
        <v>1018000</v>
      </c>
      <c r="P214" s="1601">
        <f>SUM(P215:P216)</f>
        <v>1081500</v>
      </c>
      <c r="Q214" s="1303"/>
      <c r="R214" s="1304"/>
      <c r="S214" s="1336">
        <f>SUM(S215:S216)</f>
        <v>1081500</v>
      </c>
      <c r="T214" s="1601">
        <f t="shared" ref="T214:W214" si="234">SUM(T215:T216)</f>
        <v>1021000</v>
      </c>
      <c r="U214" s="1303">
        <f t="shared" si="234"/>
        <v>0</v>
      </c>
      <c r="V214" s="1304">
        <f t="shared" si="234"/>
        <v>0</v>
      </c>
      <c r="W214" s="1336">
        <f t="shared" si="234"/>
        <v>1021000</v>
      </c>
      <c r="X214" s="1578">
        <f t="shared" si="215"/>
        <v>100.29469548133596</v>
      </c>
      <c r="Y214" s="2457">
        <f>'[1]PRIH REBALANS'!$AK$543</f>
        <v>1021000</v>
      </c>
      <c r="Z214" s="1136"/>
      <c r="AA214" s="1136">
        <f>'[9]PRIH REBALANS'!$AK$543</f>
        <v>1021000</v>
      </c>
      <c r="AB214" s="1293">
        <f t="shared" si="211"/>
        <v>0</v>
      </c>
      <c r="AC214" s="1293">
        <f t="shared" si="213"/>
        <v>0</v>
      </c>
      <c r="AD214" s="1293">
        <f t="shared" si="216"/>
        <v>3000</v>
      </c>
      <c r="AE214" s="1293">
        <f t="shared" si="212"/>
        <v>0</v>
      </c>
      <c r="AF214" s="1294"/>
      <c r="AG214" s="1294"/>
      <c r="AH214" s="1294">
        <f t="shared" si="214"/>
        <v>3000</v>
      </c>
      <c r="AI214" s="1294">
        <f t="shared" si="219"/>
        <v>0</v>
      </c>
      <c r="AJ214" s="1293">
        <f t="shared" si="217"/>
        <v>0</v>
      </c>
      <c r="AK214" s="1294"/>
      <c r="AL214" s="1294"/>
      <c r="AM214" s="1294"/>
      <c r="AN214" s="1294"/>
      <c r="AO214" s="1294"/>
      <c r="AP214" s="1294"/>
      <c r="AQ214" s="1294"/>
      <c r="AR214" s="1294">
        <f t="shared" si="224"/>
        <v>0</v>
      </c>
      <c r="AS214" s="1136">
        <f>SUM(W215:W216)</f>
        <v>1021000</v>
      </c>
      <c r="AT214" s="668">
        <f t="shared" si="225"/>
        <v>0</v>
      </c>
      <c r="AU214" s="463">
        <f>W215+W216</f>
        <v>1021000</v>
      </c>
      <c r="AV214" s="468">
        <f t="shared" si="227"/>
        <v>0</v>
      </c>
      <c r="AW214" s="468">
        <f t="shared" si="226"/>
        <v>1021000</v>
      </c>
      <c r="AX214" s="463"/>
      <c r="AY214" s="463"/>
      <c r="AZ214" s="463"/>
      <c r="BA214" s="463"/>
      <c r="BB214" s="463"/>
      <c r="BC214" s="437">
        <f>'[2]PRIH REBALANS'!$AK$562</f>
        <v>1018000</v>
      </c>
      <c r="BD214" s="437"/>
      <c r="BE214">
        <f t="shared" si="230"/>
        <v>100.42735042735043</v>
      </c>
      <c r="BF214" s="437">
        <f t="shared" si="231"/>
        <v>0.13265494601446903</v>
      </c>
      <c r="BG214" s="209">
        <f>SUM(W215:W216)</f>
        <v>1021000</v>
      </c>
    </row>
    <row r="215" spans="1:59" ht="39" customHeight="1">
      <c r="A215" s="1572"/>
      <c r="B215" s="1573"/>
      <c r="C215" s="1573"/>
      <c r="D215" s="1378" t="s">
        <v>319</v>
      </c>
      <c r="E215" s="1378"/>
      <c r="F215" s="1796" t="s">
        <v>209</v>
      </c>
      <c r="G215" s="1837" t="s">
        <v>210</v>
      </c>
      <c r="H215" s="1575">
        <v>710000</v>
      </c>
      <c r="I215" s="1575"/>
      <c r="J215" s="1575"/>
      <c r="K215" s="1374">
        <f>SUM(H215:J215)</f>
        <v>710000</v>
      </c>
      <c r="L215" s="1577">
        <v>702000</v>
      </c>
      <c r="M215" s="1301"/>
      <c r="N215" s="1302"/>
      <c r="O215" s="1375">
        <f>SUM(L215:N215)</f>
        <v>702000</v>
      </c>
      <c r="P215" s="1577">
        <v>745500</v>
      </c>
      <c r="Q215" s="1301"/>
      <c r="R215" s="1302"/>
      <c r="S215" s="1375">
        <f>SUM(P215:R215)</f>
        <v>745500</v>
      </c>
      <c r="T215" s="1577">
        <v>705000</v>
      </c>
      <c r="U215" s="1301"/>
      <c r="V215" s="1302"/>
      <c r="W215" s="1375">
        <f>SUM(T215:V215)</f>
        <v>705000</v>
      </c>
      <c r="X215" s="1578">
        <f t="shared" si="215"/>
        <v>100.42735042735043</v>
      </c>
      <c r="Y215" s="2457"/>
      <c r="Z215" s="1136"/>
      <c r="AA215" s="1136"/>
      <c r="AB215" s="1293">
        <f t="shared" si="211"/>
        <v>0</v>
      </c>
      <c r="AC215" s="1293">
        <f t="shared" si="213"/>
        <v>0</v>
      </c>
      <c r="AD215" s="1293">
        <f t="shared" si="216"/>
        <v>3000</v>
      </c>
      <c r="AE215" s="1293">
        <f t="shared" si="212"/>
        <v>0</v>
      </c>
      <c r="AF215" s="1294"/>
      <c r="AG215" s="1294"/>
      <c r="AH215" s="1294">
        <f t="shared" si="214"/>
        <v>3000</v>
      </c>
      <c r="AI215" s="1294">
        <f t="shared" si="219"/>
        <v>0</v>
      </c>
      <c r="AJ215" s="1293">
        <f t="shared" si="217"/>
        <v>0</v>
      </c>
      <c r="AK215" s="1294"/>
      <c r="AL215" s="1294"/>
      <c r="AM215" s="1294"/>
      <c r="AN215" s="1294"/>
      <c r="AO215" s="1294"/>
      <c r="AP215" s="1294"/>
      <c r="AQ215" s="1294"/>
      <c r="AR215" s="1294">
        <f t="shared" si="224"/>
        <v>0</v>
      </c>
      <c r="AS215" s="1136"/>
      <c r="AT215" s="668">
        <f t="shared" si="225"/>
        <v>0</v>
      </c>
      <c r="AU215" s="463"/>
      <c r="AV215" s="468">
        <f t="shared" si="227"/>
        <v>0</v>
      </c>
      <c r="AW215" s="468">
        <f t="shared" si="226"/>
        <v>705000</v>
      </c>
      <c r="AX215" s="463"/>
      <c r="AY215" s="463"/>
      <c r="AZ215" s="463"/>
      <c r="BA215" s="463"/>
      <c r="BB215" s="463"/>
      <c r="BC215" s="437">
        <f>T215+U215+V215+-W215</f>
        <v>0</v>
      </c>
      <c r="BD215" s="437"/>
      <c r="BE215">
        <f t="shared" si="230"/>
        <v>100</v>
      </c>
      <c r="BF215" s="437">
        <f t="shared" si="231"/>
        <v>-0.42735042735043294</v>
      </c>
    </row>
    <row r="216" spans="1:59" ht="39" customHeight="1">
      <c r="A216" s="1572"/>
      <c r="B216" s="1573"/>
      <c r="C216" s="1573"/>
      <c r="D216" s="1378" t="s">
        <v>319</v>
      </c>
      <c r="E216" s="1378"/>
      <c r="F216" s="1796" t="s">
        <v>211</v>
      </c>
      <c r="G216" s="1838" t="s">
        <v>659</v>
      </c>
      <c r="H216" s="1575">
        <v>315000</v>
      </c>
      <c r="I216" s="1575"/>
      <c r="J216" s="1575"/>
      <c r="K216" s="1374">
        <f>SUM(H216:J216)</f>
        <v>315000</v>
      </c>
      <c r="L216" s="1577">
        <v>316000</v>
      </c>
      <c r="M216" s="1301"/>
      <c r="N216" s="1302"/>
      <c r="O216" s="1375">
        <f>SUM(L216:N216)</f>
        <v>316000</v>
      </c>
      <c r="P216" s="1577">
        <v>336000</v>
      </c>
      <c r="Q216" s="1301"/>
      <c r="R216" s="1302"/>
      <c r="S216" s="1375">
        <f>SUM(P216:R216)</f>
        <v>336000</v>
      </c>
      <c r="T216" s="1577">
        <v>316000</v>
      </c>
      <c r="U216" s="1301"/>
      <c r="V216" s="1302"/>
      <c r="W216" s="1375">
        <f>SUM(T216:V216)</f>
        <v>316000</v>
      </c>
      <c r="X216" s="1578">
        <f t="shared" si="215"/>
        <v>100</v>
      </c>
      <c r="Y216" s="2457"/>
      <c r="Z216" s="1136"/>
      <c r="AA216" s="1136"/>
      <c r="AB216" s="1293">
        <f t="shared" si="211"/>
        <v>0</v>
      </c>
      <c r="AC216" s="1293">
        <f t="shared" si="213"/>
        <v>0</v>
      </c>
      <c r="AD216" s="1293">
        <f t="shared" si="216"/>
        <v>0</v>
      </c>
      <c r="AE216" s="1293">
        <f t="shared" si="212"/>
        <v>0</v>
      </c>
      <c r="AF216" s="1294"/>
      <c r="AG216" s="1294"/>
      <c r="AH216" s="1294">
        <f t="shared" si="214"/>
        <v>0</v>
      </c>
      <c r="AI216" s="1294">
        <f t="shared" si="219"/>
        <v>0</v>
      </c>
      <c r="AJ216" s="1293">
        <f t="shared" si="217"/>
        <v>0</v>
      </c>
      <c r="AK216" s="1294"/>
      <c r="AL216" s="1294"/>
      <c r="AM216" s="1294"/>
      <c r="AN216" s="1294"/>
      <c r="AO216" s="1294"/>
      <c r="AP216" s="1294"/>
      <c r="AQ216" s="1294"/>
      <c r="AR216" s="1294">
        <f t="shared" si="224"/>
        <v>0</v>
      </c>
      <c r="AS216" s="1136"/>
      <c r="AT216" s="668">
        <f t="shared" si="225"/>
        <v>0</v>
      </c>
      <c r="AU216" s="463"/>
      <c r="AV216" s="468">
        <f t="shared" si="227"/>
        <v>0</v>
      </c>
      <c r="AW216" s="468">
        <f t="shared" si="226"/>
        <v>316000</v>
      </c>
      <c r="AX216" s="463"/>
      <c r="AY216" s="463"/>
      <c r="AZ216" s="463"/>
      <c r="BA216" s="463"/>
      <c r="BB216" s="463"/>
      <c r="BC216" s="437">
        <f>T216+U216+V216+-W216</f>
        <v>0</v>
      </c>
      <c r="BD216" s="437"/>
      <c r="BE216">
        <f t="shared" si="230"/>
        <v>100.43975373790677</v>
      </c>
      <c r="BF216" s="437">
        <f t="shared" si="231"/>
        <v>0.43975373790676997</v>
      </c>
    </row>
    <row r="217" spans="1:59" ht="39" customHeight="1">
      <c r="A217" s="1572"/>
      <c r="B217" s="1573"/>
      <c r="C217" s="1573"/>
      <c r="D217" s="1378" t="s">
        <v>319</v>
      </c>
      <c r="E217" s="1378" t="s">
        <v>206</v>
      </c>
      <c r="F217" s="1795">
        <v>611200</v>
      </c>
      <c r="G217" s="1836" t="s">
        <v>213</v>
      </c>
      <c r="H217" s="1380">
        <f t="shared" ref="H217:O217" si="235">SUM(H218:H220)</f>
        <v>111300</v>
      </c>
      <c r="I217" s="1380">
        <f t="shared" si="235"/>
        <v>0</v>
      </c>
      <c r="J217" s="1380">
        <f t="shared" si="235"/>
        <v>0</v>
      </c>
      <c r="K217" s="1381">
        <f t="shared" si="235"/>
        <v>111300</v>
      </c>
      <c r="L217" s="1601">
        <f t="shared" si="235"/>
        <v>113700</v>
      </c>
      <c r="M217" s="1303">
        <f t="shared" si="235"/>
        <v>0</v>
      </c>
      <c r="N217" s="1304">
        <f t="shared" si="235"/>
        <v>0</v>
      </c>
      <c r="O217" s="1336">
        <f t="shared" si="235"/>
        <v>113700</v>
      </c>
      <c r="P217" s="1601">
        <f>SUM(P218:P220)</f>
        <v>112000</v>
      </c>
      <c r="Q217" s="1303"/>
      <c r="R217" s="1304"/>
      <c r="S217" s="1336">
        <f>SUM(S218:S220)</f>
        <v>112000</v>
      </c>
      <c r="T217" s="1601">
        <f t="shared" ref="T217:W217" si="236">SUM(T218:T220)</f>
        <v>114200</v>
      </c>
      <c r="U217" s="1303">
        <f t="shared" si="236"/>
        <v>0</v>
      </c>
      <c r="V217" s="1304">
        <f t="shared" si="236"/>
        <v>0</v>
      </c>
      <c r="W217" s="1336">
        <f t="shared" si="236"/>
        <v>114200</v>
      </c>
      <c r="X217" s="1578">
        <f t="shared" si="215"/>
        <v>100.43975373790677</v>
      </c>
      <c r="Y217" s="2457">
        <f>'[1]PRIH REBALANS'!$AK$547</f>
        <v>114200</v>
      </c>
      <c r="Z217" s="1136"/>
      <c r="AA217" s="1136">
        <f>'[9]PRIH REBALANS'!$AK$547</f>
        <v>114200</v>
      </c>
      <c r="AB217" s="1293">
        <f t="shared" si="211"/>
        <v>0</v>
      </c>
      <c r="AC217" s="1293">
        <f t="shared" si="213"/>
        <v>0</v>
      </c>
      <c r="AD217" s="1293">
        <f t="shared" si="216"/>
        <v>500</v>
      </c>
      <c r="AE217" s="1293">
        <f t="shared" si="212"/>
        <v>0</v>
      </c>
      <c r="AF217" s="1294"/>
      <c r="AG217" s="1294"/>
      <c r="AH217" s="1294">
        <f t="shared" si="214"/>
        <v>500</v>
      </c>
      <c r="AI217" s="1294">
        <f t="shared" si="219"/>
        <v>0</v>
      </c>
      <c r="AJ217" s="1293">
        <f t="shared" si="217"/>
        <v>0</v>
      </c>
      <c r="AK217" s="1294"/>
      <c r="AL217" s="1294"/>
      <c r="AM217" s="1294"/>
      <c r="AN217" s="1294"/>
      <c r="AO217" s="1294"/>
      <c r="AP217" s="1294"/>
      <c r="AQ217" s="1294"/>
      <c r="AR217" s="1294">
        <f t="shared" si="224"/>
        <v>0</v>
      </c>
      <c r="AS217" s="1136">
        <f>SUM(W218:W220)</f>
        <v>114200</v>
      </c>
      <c r="AT217" s="668">
        <f t="shared" si="225"/>
        <v>0</v>
      </c>
      <c r="AU217" s="463">
        <f>SUM(W218:W220)</f>
        <v>114200</v>
      </c>
      <c r="AV217" s="468">
        <f t="shared" si="227"/>
        <v>0</v>
      </c>
      <c r="AW217" s="468">
        <f t="shared" si="226"/>
        <v>114200</v>
      </c>
      <c r="AX217" s="463"/>
      <c r="AY217" s="463"/>
      <c r="AZ217" s="463"/>
      <c r="BA217" s="463"/>
      <c r="BB217" s="463"/>
      <c r="BC217" s="437">
        <f>'[2]PRIH REBALANS'!$AK$566</f>
        <v>113700</v>
      </c>
      <c r="BD217" s="437"/>
      <c r="BE217">
        <f t="shared" si="230"/>
        <v>102.94117647058823</v>
      </c>
      <c r="BF217" s="437">
        <f t="shared" si="231"/>
        <v>2.501422732681462</v>
      </c>
      <c r="BG217" s="209">
        <f>W218+W219+W220</f>
        <v>114200</v>
      </c>
    </row>
    <row r="218" spans="1:59" ht="39" customHeight="1">
      <c r="A218" s="1572"/>
      <c r="B218" s="1573"/>
      <c r="C218" s="1573"/>
      <c r="D218" s="1378" t="s">
        <v>319</v>
      </c>
      <c r="E218" s="1378"/>
      <c r="F218" s="1796">
        <v>611211</v>
      </c>
      <c r="G218" s="1838" t="s">
        <v>660</v>
      </c>
      <c r="H218" s="1575">
        <v>17000</v>
      </c>
      <c r="I218" s="1575"/>
      <c r="J218" s="1575"/>
      <c r="K218" s="1374">
        <f>SUM(H218:J218)</f>
        <v>17000</v>
      </c>
      <c r="L218" s="1577">
        <v>17000</v>
      </c>
      <c r="M218" s="1301"/>
      <c r="N218" s="1302"/>
      <c r="O218" s="1375">
        <f>SUM(L218:N218)</f>
        <v>17000</v>
      </c>
      <c r="P218" s="1577">
        <v>17000</v>
      </c>
      <c r="Q218" s="1301"/>
      <c r="R218" s="1302"/>
      <c r="S218" s="1375">
        <f>SUM(P218:R218)</f>
        <v>17000</v>
      </c>
      <c r="T218" s="1577">
        <v>17500</v>
      </c>
      <c r="U218" s="1301"/>
      <c r="V218" s="1302"/>
      <c r="W218" s="1375">
        <f>SUM(T218:V218)</f>
        <v>17500</v>
      </c>
      <c r="X218" s="1578">
        <f t="shared" si="215"/>
        <v>102.94117647058823</v>
      </c>
      <c r="Y218" s="2457"/>
      <c r="Z218" s="1136"/>
      <c r="AA218" s="1136"/>
      <c r="AB218" s="1293">
        <f t="shared" si="211"/>
        <v>0</v>
      </c>
      <c r="AC218" s="1293">
        <f t="shared" si="213"/>
        <v>0</v>
      </c>
      <c r="AD218" s="1293">
        <f t="shared" si="216"/>
        <v>500</v>
      </c>
      <c r="AE218" s="1293">
        <f t="shared" si="212"/>
        <v>0</v>
      </c>
      <c r="AF218" s="1294"/>
      <c r="AG218" s="1294"/>
      <c r="AH218" s="1294">
        <f t="shared" si="214"/>
        <v>500</v>
      </c>
      <c r="AI218" s="1294">
        <f t="shared" si="219"/>
        <v>0</v>
      </c>
      <c r="AJ218" s="1293">
        <f t="shared" si="217"/>
        <v>0</v>
      </c>
      <c r="AK218" s="1294"/>
      <c r="AL218" s="1294"/>
      <c r="AM218" s="1294"/>
      <c r="AN218" s="1294"/>
      <c r="AO218" s="1294"/>
      <c r="AP218" s="1294"/>
      <c r="AQ218" s="1294"/>
      <c r="AR218" s="1294">
        <f t="shared" si="224"/>
        <v>0</v>
      </c>
      <c r="AS218" s="1136"/>
      <c r="AT218" s="668">
        <f t="shared" si="225"/>
        <v>0</v>
      </c>
      <c r="AU218" s="463"/>
      <c r="AV218" s="468">
        <f t="shared" si="227"/>
        <v>0</v>
      </c>
      <c r="AW218" s="468">
        <f t="shared" si="226"/>
        <v>17500</v>
      </c>
      <c r="AX218" s="463"/>
      <c r="AY218" s="463"/>
      <c r="AZ218" s="463"/>
      <c r="BA218" s="463"/>
      <c r="BB218" s="463"/>
      <c r="BC218" s="437">
        <f>T218+U218+V218+-W218</f>
        <v>0</v>
      </c>
      <c r="BD218" s="437"/>
      <c r="BE218">
        <f t="shared" si="230"/>
        <v>100</v>
      </c>
      <c r="BF218" s="437">
        <f t="shared" si="231"/>
        <v>-2.941176470588232</v>
      </c>
    </row>
    <row r="219" spans="1:59" ht="39" customHeight="1">
      <c r="A219" s="1572"/>
      <c r="B219" s="1573"/>
      <c r="C219" s="1573"/>
      <c r="D219" s="1378" t="s">
        <v>319</v>
      </c>
      <c r="E219" s="1378"/>
      <c r="F219" s="1797">
        <v>611221</v>
      </c>
      <c r="G219" s="1837" t="s">
        <v>661</v>
      </c>
      <c r="H219" s="1575">
        <v>75000</v>
      </c>
      <c r="I219" s="1575"/>
      <c r="J219" s="1575"/>
      <c r="K219" s="1374">
        <f>SUM(H219:J219)</f>
        <v>75000</v>
      </c>
      <c r="L219" s="1577">
        <v>77000</v>
      </c>
      <c r="M219" s="1301"/>
      <c r="N219" s="1302"/>
      <c r="O219" s="1375">
        <f t="shared" ref="O219:O220" si="237">SUM(L219:N219)</f>
        <v>77000</v>
      </c>
      <c r="P219" s="1577">
        <v>75000</v>
      </c>
      <c r="Q219" s="1301"/>
      <c r="R219" s="1302"/>
      <c r="S219" s="1375">
        <f t="shared" ref="S219:S220" si="238">SUM(P219:R219)</f>
        <v>75000</v>
      </c>
      <c r="T219" s="1577">
        <v>77000</v>
      </c>
      <c r="U219" s="1301"/>
      <c r="V219" s="1302"/>
      <c r="W219" s="1375">
        <f t="shared" ref="W219:W220" si="239">SUM(T219:V219)</f>
        <v>77000</v>
      </c>
      <c r="X219" s="1578">
        <f t="shared" si="215"/>
        <v>100</v>
      </c>
      <c r="Y219" s="2457"/>
      <c r="Z219" s="1136"/>
      <c r="AA219" s="1136"/>
      <c r="AB219" s="1293">
        <f t="shared" si="211"/>
        <v>0</v>
      </c>
      <c r="AC219" s="1293">
        <f t="shared" si="213"/>
        <v>0</v>
      </c>
      <c r="AD219" s="1293">
        <f t="shared" si="216"/>
        <v>0</v>
      </c>
      <c r="AE219" s="1293">
        <f t="shared" si="212"/>
        <v>0</v>
      </c>
      <c r="AF219" s="1294"/>
      <c r="AG219" s="1294"/>
      <c r="AH219" s="1294">
        <f t="shared" si="214"/>
        <v>0</v>
      </c>
      <c r="AI219" s="1294">
        <f t="shared" si="219"/>
        <v>0</v>
      </c>
      <c r="AJ219" s="1293">
        <f t="shared" si="217"/>
        <v>0</v>
      </c>
      <c r="AK219" s="1294"/>
      <c r="AL219" s="1294"/>
      <c r="AM219" s="1294"/>
      <c r="AN219" s="1294"/>
      <c r="AO219" s="1294"/>
      <c r="AP219" s="1294"/>
      <c r="AQ219" s="1294"/>
      <c r="AR219" s="1294">
        <f t="shared" si="224"/>
        <v>0</v>
      </c>
      <c r="AS219" s="1136"/>
      <c r="AT219" s="668">
        <f t="shared" si="225"/>
        <v>0</v>
      </c>
      <c r="AU219" s="463"/>
      <c r="AV219" s="468">
        <f t="shared" si="227"/>
        <v>0</v>
      </c>
      <c r="AW219" s="468">
        <f t="shared" si="226"/>
        <v>77000</v>
      </c>
      <c r="AX219" s="463"/>
      <c r="AY219" s="463"/>
      <c r="AZ219" s="463"/>
      <c r="BA219" s="463"/>
      <c r="BB219" s="463"/>
      <c r="BC219" s="437">
        <f>T219+U219+V219+-W219</f>
        <v>0</v>
      </c>
      <c r="BD219" s="437"/>
      <c r="BE219">
        <f t="shared" si="230"/>
        <v>100</v>
      </c>
      <c r="BF219" s="437">
        <f t="shared" si="231"/>
        <v>0</v>
      </c>
    </row>
    <row r="220" spans="1:59" ht="39" customHeight="1">
      <c r="A220" s="1572"/>
      <c r="B220" s="1573"/>
      <c r="C220" s="1573"/>
      <c r="D220" s="1378" t="s">
        <v>319</v>
      </c>
      <c r="E220" s="1378"/>
      <c r="F220" s="1797">
        <v>611224</v>
      </c>
      <c r="G220" s="1837" t="s">
        <v>214</v>
      </c>
      <c r="H220" s="1575">
        <v>19300</v>
      </c>
      <c r="I220" s="1575"/>
      <c r="J220" s="1575"/>
      <c r="K220" s="1374">
        <f>SUM(H220:J220)</f>
        <v>19300</v>
      </c>
      <c r="L220" s="1577">
        <v>19700</v>
      </c>
      <c r="M220" s="1301"/>
      <c r="N220" s="1302"/>
      <c r="O220" s="1375">
        <f t="shared" si="237"/>
        <v>19700</v>
      </c>
      <c r="P220" s="1577">
        <v>20000</v>
      </c>
      <c r="Q220" s="1301"/>
      <c r="R220" s="1302"/>
      <c r="S220" s="1375">
        <f t="shared" si="238"/>
        <v>20000</v>
      </c>
      <c r="T220" s="1577">
        <v>19700</v>
      </c>
      <c r="U220" s="1301"/>
      <c r="V220" s="1302"/>
      <c r="W220" s="1375">
        <f t="shared" si="239"/>
        <v>19700</v>
      </c>
      <c r="X220" s="1578">
        <f t="shared" si="215"/>
        <v>100</v>
      </c>
      <c r="Y220" s="2457"/>
      <c r="Z220" s="1136"/>
      <c r="AA220" s="1136"/>
      <c r="AB220" s="1293">
        <f t="shared" si="211"/>
        <v>0</v>
      </c>
      <c r="AC220" s="1293">
        <f t="shared" si="213"/>
        <v>0</v>
      </c>
      <c r="AD220" s="1293">
        <f t="shared" si="216"/>
        <v>0</v>
      </c>
      <c r="AE220" s="1293">
        <f t="shared" si="212"/>
        <v>0</v>
      </c>
      <c r="AF220" s="1294"/>
      <c r="AG220" s="1294"/>
      <c r="AH220" s="1294">
        <f t="shared" si="214"/>
        <v>0</v>
      </c>
      <c r="AI220" s="1294">
        <f t="shared" si="219"/>
        <v>0</v>
      </c>
      <c r="AJ220" s="1293">
        <f t="shared" si="217"/>
        <v>0</v>
      </c>
      <c r="AK220" s="1294"/>
      <c r="AL220" s="1294"/>
      <c r="AM220" s="1294"/>
      <c r="AN220" s="1294"/>
      <c r="AO220" s="1294"/>
      <c r="AP220" s="1294"/>
      <c r="AQ220" s="1294"/>
      <c r="AR220" s="1294">
        <f t="shared" si="224"/>
        <v>0</v>
      </c>
      <c r="AS220" s="1136"/>
      <c r="AT220" s="668">
        <f t="shared" si="225"/>
        <v>0</v>
      </c>
      <c r="AU220" s="463"/>
      <c r="AV220" s="468">
        <f t="shared" si="227"/>
        <v>0</v>
      </c>
      <c r="AW220" s="468">
        <f t="shared" si="226"/>
        <v>19700</v>
      </c>
      <c r="AX220" s="463"/>
      <c r="AY220" s="463"/>
      <c r="AZ220" s="463"/>
      <c r="BA220" s="463"/>
      <c r="BB220" s="463"/>
      <c r="BC220" s="437">
        <f>T220+U220+V220+-W220</f>
        <v>0</v>
      </c>
      <c r="BD220" s="437"/>
      <c r="BE220">
        <f t="shared" si="230"/>
        <v>101.81818181818181</v>
      </c>
      <c r="BF220" s="437">
        <f t="shared" si="231"/>
        <v>1.818181818181813</v>
      </c>
    </row>
    <row r="221" spans="1:59" ht="39" customHeight="1">
      <c r="A221" s="1572"/>
      <c r="B221" s="1573"/>
      <c r="C221" s="1573"/>
      <c r="D221" s="1378" t="s">
        <v>319</v>
      </c>
      <c r="E221" s="1378" t="s">
        <v>206</v>
      </c>
      <c r="F221" s="1795">
        <v>612000</v>
      </c>
      <c r="G221" s="1836" t="s">
        <v>216</v>
      </c>
      <c r="H221" s="1380">
        <f t="shared" ref="H221:O221" si="240">SUM(H222)</f>
        <v>110000</v>
      </c>
      <c r="I221" s="1380">
        <f t="shared" si="240"/>
        <v>0</v>
      </c>
      <c r="J221" s="1380">
        <f t="shared" si="240"/>
        <v>0</v>
      </c>
      <c r="K221" s="1381">
        <f t="shared" si="240"/>
        <v>110000</v>
      </c>
      <c r="L221" s="1601">
        <f t="shared" si="240"/>
        <v>110000</v>
      </c>
      <c r="M221" s="1303">
        <f t="shared" si="240"/>
        <v>0</v>
      </c>
      <c r="N221" s="1304">
        <f t="shared" si="240"/>
        <v>0</v>
      </c>
      <c r="O221" s="1336">
        <f t="shared" si="240"/>
        <v>110000</v>
      </c>
      <c r="P221" s="1601">
        <f>SUM(P222)</f>
        <v>115500</v>
      </c>
      <c r="Q221" s="1303"/>
      <c r="R221" s="1304"/>
      <c r="S221" s="1336">
        <f>SUM(S222)</f>
        <v>115500</v>
      </c>
      <c r="T221" s="1601">
        <f t="shared" ref="T221:W221" si="241">SUM(T222)</f>
        <v>112000</v>
      </c>
      <c r="U221" s="1303">
        <f t="shared" si="241"/>
        <v>0</v>
      </c>
      <c r="V221" s="1304">
        <f t="shared" si="241"/>
        <v>0</v>
      </c>
      <c r="W221" s="1336">
        <f t="shared" si="241"/>
        <v>112000</v>
      </c>
      <c r="X221" s="1578">
        <f t="shared" si="215"/>
        <v>101.81818181818181</v>
      </c>
      <c r="Y221" s="2457">
        <f>'[1]PRIH REBALANS'!$AK$551</f>
        <v>112000</v>
      </c>
      <c r="Z221" s="1136"/>
      <c r="AA221" s="1136">
        <f>'[9]PRIH REBALANS'!$AK$551</f>
        <v>112000</v>
      </c>
      <c r="AB221" s="1293">
        <f t="shared" si="211"/>
        <v>0</v>
      </c>
      <c r="AC221" s="1293">
        <f t="shared" si="213"/>
        <v>0</v>
      </c>
      <c r="AD221" s="1293">
        <f t="shared" si="216"/>
        <v>2000</v>
      </c>
      <c r="AE221" s="1293">
        <f t="shared" si="212"/>
        <v>0</v>
      </c>
      <c r="AF221" s="1294"/>
      <c r="AG221" s="1294"/>
      <c r="AH221" s="1294">
        <f t="shared" si="214"/>
        <v>2000</v>
      </c>
      <c r="AI221" s="1294">
        <f t="shared" si="219"/>
        <v>0</v>
      </c>
      <c r="AJ221" s="1293">
        <f t="shared" si="217"/>
        <v>0</v>
      </c>
      <c r="AK221" s="1294"/>
      <c r="AL221" s="1294"/>
      <c r="AM221" s="1294"/>
      <c r="AN221" s="1294"/>
      <c r="AO221" s="1294"/>
      <c r="AP221" s="1294"/>
      <c r="AQ221" s="1294"/>
      <c r="AR221" s="1294">
        <f t="shared" si="224"/>
        <v>0</v>
      </c>
      <c r="AS221" s="1136">
        <f>W222</f>
        <v>112000</v>
      </c>
      <c r="AT221" s="668">
        <f t="shared" si="225"/>
        <v>0</v>
      </c>
      <c r="AU221" s="463">
        <f>W222</f>
        <v>112000</v>
      </c>
      <c r="AV221" s="468">
        <f t="shared" si="227"/>
        <v>0</v>
      </c>
      <c r="AW221" s="468">
        <f t="shared" si="226"/>
        <v>112000</v>
      </c>
      <c r="AX221" s="463"/>
      <c r="AY221" s="463"/>
      <c r="AZ221" s="463"/>
      <c r="BA221" s="463"/>
      <c r="BB221" s="463"/>
      <c r="BC221" s="437">
        <f>T221+U221+V221+-W221</f>
        <v>0</v>
      </c>
      <c r="BD221" s="437"/>
      <c r="BE221">
        <f t="shared" si="230"/>
        <v>101.81818181818181</v>
      </c>
      <c r="BF221" s="437">
        <f t="shared" si="231"/>
        <v>0</v>
      </c>
      <c r="BG221" s="209">
        <f>W222</f>
        <v>112000</v>
      </c>
    </row>
    <row r="222" spans="1:59" ht="39" customHeight="1">
      <c r="A222" s="1572"/>
      <c r="B222" s="1573"/>
      <c r="C222" s="1573"/>
      <c r="D222" s="1378" t="s">
        <v>319</v>
      </c>
      <c r="E222" s="1378"/>
      <c r="F222" s="1796">
        <v>612110</v>
      </c>
      <c r="G222" s="1838" t="s">
        <v>217</v>
      </c>
      <c r="H222" s="1575">
        <v>110000</v>
      </c>
      <c r="I222" s="1575"/>
      <c r="J222" s="1575"/>
      <c r="K222" s="1374">
        <f>SUM(H222:J222)</f>
        <v>110000</v>
      </c>
      <c r="L222" s="1577">
        <v>110000</v>
      </c>
      <c r="M222" s="1301"/>
      <c r="N222" s="1302"/>
      <c r="O222" s="1375">
        <f t="shared" ref="O222" si="242">SUM(L222:N222)</f>
        <v>110000</v>
      </c>
      <c r="P222" s="1577">
        <v>115500</v>
      </c>
      <c r="Q222" s="1301"/>
      <c r="R222" s="1302"/>
      <c r="S222" s="1375">
        <f t="shared" ref="S222" si="243">SUM(P222:R222)</f>
        <v>115500</v>
      </c>
      <c r="T222" s="1577">
        <v>112000</v>
      </c>
      <c r="U222" s="1301"/>
      <c r="V222" s="1302"/>
      <c r="W222" s="1375">
        <f t="shared" ref="W222" si="244">SUM(T222:V222)</f>
        <v>112000</v>
      </c>
      <c r="X222" s="1578">
        <f t="shared" si="215"/>
        <v>101.81818181818181</v>
      </c>
      <c r="Y222" s="2457"/>
      <c r="Z222" s="1136"/>
      <c r="AA222" s="1136"/>
      <c r="AB222" s="1293">
        <f t="shared" si="211"/>
        <v>0</v>
      </c>
      <c r="AC222" s="1293">
        <f t="shared" si="213"/>
        <v>0</v>
      </c>
      <c r="AD222" s="1293">
        <f t="shared" si="216"/>
        <v>2000</v>
      </c>
      <c r="AE222" s="1293">
        <f t="shared" si="212"/>
        <v>0</v>
      </c>
      <c r="AF222" s="1294"/>
      <c r="AG222" s="1294"/>
      <c r="AH222" s="1294">
        <f t="shared" si="214"/>
        <v>2000</v>
      </c>
      <c r="AI222" s="1294">
        <f t="shared" si="219"/>
        <v>0</v>
      </c>
      <c r="AJ222" s="1293">
        <f t="shared" si="217"/>
        <v>0</v>
      </c>
      <c r="AK222" s="1294"/>
      <c r="AL222" s="1294"/>
      <c r="AM222" s="1294"/>
      <c r="AN222" s="1294"/>
      <c r="AO222" s="1294"/>
      <c r="AP222" s="1294"/>
      <c r="AQ222" s="1294"/>
      <c r="AR222" s="1294">
        <f t="shared" si="224"/>
        <v>0</v>
      </c>
      <c r="AS222" s="1136"/>
      <c r="AT222" s="668">
        <f t="shared" si="225"/>
        <v>0</v>
      </c>
      <c r="AU222" s="463"/>
      <c r="AV222" s="468">
        <f t="shared" si="227"/>
        <v>0</v>
      </c>
      <c r="AW222" s="468">
        <f t="shared" si="226"/>
        <v>112000</v>
      </c>
      <c r="AX222" s="463"/>
      <c r="AY222" s="463"/>
      <c r="AZ222" s="463"/>
      <c r="BA222" s="463"/>
      <c r="BB222" s="463"/>
      <c r="BC222" s="437">
        <f>T222+U222+V222+-W222</f>
        <v>0</v>
      </c>
      <c r="BD222" s="437"/>
      <c r="BE222">
        <f t="shared" si="230"/>
        <v>37.507314218841422</v>
      </c>
      <c r="BF222" s="437">
        <f t="shared" si="231"/>
        <v>-64.310867599340384</v>
      </c>
    </row>
    <row r="223" spans="1:59" ht="39" customHeight="1">
      <c r="A223" s="1572"/>
      <c r="B223" s="1573"/>
      <c r="C223" s="1573"/>
      <c r="D223" s="1378" t="s">
        <v>319</v>
      </c>
      <c r="E223" s="1378" t="s">
        <v>206</v>
      </c>
      <c r="F223" s="1795">
        <v>613000</v>
      </c>
      <c r="G223" s="1836" t="s">
        <v>169</v>
      </c>
      <c r="H223" s="1380">
        <f t="shared" ref="H223:O223" si="245">SUM(H224:H232)</f>
        <v>1156250</v>
      </c>
      <c r="I223" s="1380">
        <f t="shared" si="245"/>
        <v>0</v>
      </c>
      <c r="J223" s="1380">
        <f t="shared" si="245"/>
        <v>0</v>
      </c>
      <c r="K223" s="1381">
        <f t="shared" si="245"/>
        <v>1156250</v>
      </c>
      <c r="L223" s="1601">
        <f t="shared" si="245"/>
        <v>5981500</v>
      </c>
      <c r="M223" s="1303">
        <f t="shared" si="245"/>
        <v>0</v>
      </c>
      <c r="N223" s="1304">
        <f t="shared" si="245"/>
        <v>0</v>
      </c>
      <c r="O223" s="1336">
        <f t="shared" si="245"/>
        <v>5981500</v>
      </c>
      <c r="P223" s="1601">
        <f>SUM(P224:P232)</f>
        <v>2243500</v>
      </c>
      <c r="Q223" s="1303"/>
      <c r="R223" s="1304"/>
      <c r="S223" s="1336">
        <f>SUM(S224:S232)</f>
        <v>2243500</v>
      </c>
      <c r="T223" s="1601">
        <f t="shared" ref="T223:W223" si="246">SUM(T224:T232)</f>
        <v>2243500</v>
      </c>
      <c r="U223" s="1303">
        <f t="shared" si="246"/>
        <v>0</v>
      </c>
      <c r="V223" s="1304">
        <f t="shared" si="246"/>
        <v>0</v>
      </c>
      <c r="W223" s="1336">
        <f t="shared" si="246"/>
        <v>2243500</v>
      </c>
      <c r="X223" s="1578">
        <f t="shared" si="215"/>
        <v>37.507314218841422</v>
      </c>
      <c r="Y223" s="2457">
        <f>'[1]PRIH REBALANS'!$AK$553</f>
        <v>2243500</v>
      </c>
      <c r="Z223" s="1136"/>
      <c r="AA223" s="1136">
        <f>'[9]PRIH REBALANS'!$AK$553</f>
        <v>2243500</v>
      </c>
      <c r="AB223" s="1293">
        <f t="shared" si="211"/>
        <v>0</v>
      </c>
      <c r="AC223" s="1293">
        <f t="shared" si="213"/>
        <v>0</v>
      </c>
      <c r="AD223" s="1293">
        <f t="shared" si="216"/>
        <v>-3738000</v>
      </c>
      <c r="AE223" s="1293">
        <f t="shared" si="212"/>
        <v>0</v>
      </c>
      <c r="AF223" s="1294"/>
      <c r="AG223" s="1294"/>
      <c r="AH223" s="1294">
        <f t="shared" si="214"/>
        <v>-3738000</v>
      </c>
      <c r="AI223" s="1294">
        <f t="shared" si="219"/>
        <v>0</v>
      </c>
      <c r="AJ223" s="1293">
        <f t="shared" si="217"/>
        <v>0</v>
      </c>
      <c r="AK223" s="1294"/>
      <c r="AL223" s="1294"/>
      <c r="AM223" s="1294"/>
      <c r="AN223" s="1294"/>
      <c r="AO223" s="1294"/>
      <c r="AP223" s="1294"/>
      <c r="AQ223" s="1294"/>
      <c r="AR223" s="1294">
        <f t="shared" si="224"/>
        <v>0</v>
      </c>
      <c r="AS223" s="1136">
        <f>SUM(W224:W232)</f>
        <v>2243500</v>
      </c>
      <c r="AT223" s="668">
        <f t="shared" si="225"/>
        <v>0</v>
      </c>
      <c r="AU223" s="463">
        <f>SUM(W224:W232)</f>
        <v>2243500</v>
      </c>
      <c r="AV223" s="468">
        <f t="shared" si="227"/>
        <v>0</v>
      </c>
      <c r="AW223" s="468">
        <f t="shared" si="226"/>
        <v>2243500</v>
      </c>
      <c r="AX223" s="463"/>
      <c r="AY223" s="463"/>
      <c r="AZ223" s="463"/>
      <c r="BA223" s="463"/>
      <c r="BB223" s="463"/>
      <c r="BC223" s="437">
        <f>'[2]PRIH REBALANS'!$AK$572</f>
        <v>5981500</v>
      </c>
      <c r="BD223" s="437">
        <f>'[2]PRIH REBALANS'!$AK$581</f>
        <v>5884500</v>
      </c>
      <c r="BE223">
        <f t="shared" si="230"/>
        <v>100</v>
      </c>
      <c r="BF223" s="437">
        <f t="shared" si="231"/>
        <v>62.492685781158578</v>
      </c>
      <c r="BG223" s="209">
        <f>SUM(W224:W232)</f>
        <v>2243500</v>
      </c>
    </row>
    <row r="224" spans="1:59" ht="39" customHeight="1">
      <c r="A224" s="1572"/>
      <c r="B224" s="1573"/>
      <c r="C224" s="1573"/>
      <c r="D224" s="1378" t="s">
        <v>319</v>
      </c>
      <c r="E224" s="1378"/>
      <c r="F224" s="1796">
        <v>613100</v>
      </c>
      <c r="G224" s="1838" t="s">
        <v>170</v>
      </c>
      <c r="H224" s="1608">
        <v>1000</v>
      </c>
      <c r="I224" s="1575"/>
      <c r="J224" s="1575"/>
      <c r="K224" s="1374">
        <f t="shared" ref="K224:K231" si="247">SUM(H224:J224)</f>
        <v>1000</v>
      </c>
      <c r="L224" s="1627">
        <v>1000</v>
      </c>
      <c r="M224" s="1301"/>
      <c r="N224" s="1302"/>
      <c r="O224" s="1375">
        <f>SUM(L224:N224)</f>
        <v>1000</v>
      </c>
      <c r="P224" s="1627">
        <v>1000</v>
      </c>
      <c r="Q224" s="1301"/>
      <c r="R224" s="1302"/>
      <c r="S224" s="1375">
        <f>SUM(P224:R224)</f>
        <v>1000</v>
      </c>
      <c r="T224" s="1627">
        <v>1000</v>
      </c>
      <c r="U224" s="1301"/>
      <c r="V224" s="1302"/>
      <c r="W224" s="1375">
        <f>SUM(T224:V224)</f>
        <v>1000</v>
      </c>
      <c r="X224" s="1578">
        <f t="shared" si="215"/>
        <v>100</v>
      </c>
      <c r="Y224" s="2457"/>
      <c r="Z224" s="1136"/>
      <c r="AA224" s="1136"/>
      <c r="AB224" s="1293">
        <f t="shared" si="211"/>
        <v>0</v>
      </c>
      <c r="AC224" s="1293">
        <f t="shared" si="213"/>
        <v>0</v>
      </c>
      <c r="AD224" s="1293">
        <f t="shared" si="216"/>
        <v>0</v>
      </c>
      <c r="AE224" s="1293">
        <f t="shared" si="212"/>
        <v>0</v>
      </c>
      <c r="AF224" s="1294"/>
      <c r="AG224" s="1294"/>
      <c r="AH224" s="1294">
        <f t="shared" si="214"/>
        <v>0</v>
      </c>
      <c r="AI224" s="1294">
        <f t="shared" si="219"/>
        <v>0</v>
      </c>
      <c r="AJ224" s="1293">
        <f t="shared" si="217"/>
        <v>0</v>
      </c>
      <c r="AK224" s="1294"/>
      <c r="AL224" s="1294"/>
      <c r="AM224" s="1294"/>
      <c r="AN224" s="1294"/>
      <c r="AO224" s="1294"/>
      <c r="AP224" s="1294"/>
      <c r="AQ224" s="1294"/>
      <c r="AR224" s="1294">
        <f t="shared" si="224"/>
        <v>0</v>
      </c>
      <c r="AS224" s="1136"/>
      <c r="AT224" s="668">
        <f t="shared" si="225"/>
        <v>0</v>
      </c>
      <c r="AU224" s="463"/>
      <c r="AV224" s="468">
        <f t="shared" si="227"/>
        <v>0</v>
      </c>
      <c r="AW224" s="468">
        <f t="shared" si="226"/>
        <v>1000</v>
      </c>
      <c r="AX224" s="463"/>
      <c r="AY224" s="463"/>
      <c r="AZ224" s="463"/>
      <c r="BA224" s="463"/>
      <c r="BB224" s="463"/>
      <c r="BC224" s="437">
        <f t="shared" ref="BC224:BC231" si="248">T224+U224+V224+-W224</f>
        <v>0</v>
      </c>
      <c r="BD224" s="437"/>
      <c r="BE224">
        <f t="shared" si="230"/>
        <v>100</v>
      </c>
      <c r="BF224" s="437">
        <f t="shared" si="231"/>
        <v>0</v>
      </c>
    </row>
    <row r="225" spans="1:59" ht="39" customHeight="1">
      <c r="A225" s="1572"/>
      <c r="B225" s="1573"/>
      <c r="C225" s="1573"/>
      <c r="D225" s="1378" t="s">
        <v>319</v>
      </c>
      <c r="E225" s="1378"/>
      <c r="F225" s="1796" t="s">
        <v>218</v>
      </c>
      <c r="G225" s="1838" t="s">
        <v>694</v>
      </c>
      <c r="H225" s="1608">
        <v>10000</v>
      </c>
      <c r="I225" s="1575"/>
      <c r="J225" s="1575"/>
      <c r="K225" s="1374">
        <f t="shared" si="247"/>
        <v>10000</v>
      </c>
      <c r="L225" s="1627">
        <v>25000</v>
      </c>
      <c r="M225" s="1301"/>
      <c r="N225" s="1302"/>
      <c r="O225" s="1375">
        <f t="shared" ref="O225:O231" si="249">SUM(L225:N225)</f>
        <v>25000</v>
      </c>
      <c r="P225" s="1627">
        <v>25000</v>
      </c>
      <c r="Q225" s="1301"/>
      <c r="R225" s="1302"/>
      <c r="S225" s="1375">
        <f t="shared" ref="S225:S231" si="250">SUM(P225:R225)</f>
        <v>25000</v>
      </c>
      <c r="T225" s="1627">
        <v>25000</v>
      </c>
      <c r="U225" s="1301"/>
      <c r="V225" s="1302"/>
      <c r="W225" s="1375">
        <f t="shared" ref="W225:W231" si="251">SUM(T225:V225)</f>
        <v>25000</v>
      </c>
      <c r="X225" s="1578">
        <f t="shared" si="215"/>
        <v>100</v>
      </c>
      <c r="Y225" s="2457"/>
      <c r="Z225" s="1136"/>
      <c r="AA225" s="1136"/>
      <c r="AB225" s="1293">
        <f t="shared" si="211"/>
        <v>0</v>
      </c>
      <c r="AC225" s="1293">
        <f t="shared" si="213"/>
        <v>0</v>
      </c>
      <c r="AD225" s="1293">
        <f t="shared" si="216"/>
        <v>0</v>
      </c>
      <c r="AE225" s="1293">
        <f t="shared" si="212"/>
        <v>0</v>
      </c>
      <c r="AF225" s="1294"/>
      <c r="AG225" s="1294"/>
      <c r="AH225" s="1294">
        <f t="shared" si="214"/>
        <v>0</v>
      </c>
      <c r="AI225" s="1294">
        <f t="shared" si="219"/>
        <v>0</v>
      </c>
      <c r="AJ225" s="1293">
        <f t="shared" si="217"/>
        <v>0</v>
      </c>
      <c r="AK225" s="1294"/>
      <c r="AL225" s="1294"/>
      <c r="AM225" s="1294"/>
      <c r="AN225" s="1294"/>
      <c r="AO225" s="1294"/>
      <c r="AP225" s="1294"/>
      <c r="AQ225" s="1294"/>
      <c r="AR225" s="1294">
        <f t="shared" si="224"/>
        <v>0</v>
      </c>
      <c r="AS225" s="1136"/>
      <c r="AT225" s="668">
        <f t="shared" si="225"/>
        <v>0</v>
      </c>
      <c r="AU225" s="463"/>
      <c r="AV225" s="468">
        <f t="shared" si="227"/>
        <v>0</v>
      </c>
      <c r="AW225" s="468">
        <f t="shared" si="226"/>
        <v>25000</v>
      </c>
      <c r="AX225" s="463"/>
      <c r="AY225" s="463"/>
      <c r="AZ225" s="463"/>
      <c r="BA225" s="463"/>
      <c r="BB225" s="463"/>
      <c r="BC225" s="437">
        <f t="shared" si="248"/>
        <v>0</v>
      </c>
      <c r="BD225" s="437"/>
      <c r="BE225">
        <f t="shared" si="230"/>
        <v>100</v>
      </c>
      <c r="BF225" s="437">
        <f t="shared" si="231"/>
        <v>0</v>
      </c>
    </row>
    <row r="226" spans="1:59" ht="39" customHeight="1">
      <c r="A226" s="1572"/>
      <c r="B226" s="1573"/>
      <c r="C226" s="1573"/>
      <c r="D226" s="1378" t="s">
        <v>319</v>
      </c>
      <c r="E226" s="1378"/>
      <c r="F226" s="1796" t="s">
        <v>219</v>
      </c>
      <c r="G226" s="1838" t="s">
        <v>311</v>
      </c>
      <c r="H226" s="1608">
        <v>20000</v>
      </c>
      <c r="I226" s="1575"/>
      <c r="J226" s="1575"/>
      <c r="K226" s="1374">
        <f t="shared" si="247"/>
        <v>20000</v>
      </c>
      <c r="L226" s="1627">
        <v>28000</v>
      </c>
      <c r="M226" s="1301"/>
      <c r="N226" s="1302"/>
      <c r="O226" s="1375">
        <f t="shared" si="249"/>
        <v>28000</v>
      </c>
      <c r="P226" s="1627">
        <v>28000</v>
      </c>
      <c r="Q226" s="1301"/>
      <c r="R226" s="1302"/>
      <c r="S226" s="1375">
        <f t="shared" si="250"/>
        <v>28000</v>
      </c>
      <c r="T226" s="1627">
        <v>28000</v>
      </c>
      <c r="U226" s="1301"/>
      <c r="V226" s="1302"/>
      <c r="W226" s="1375">
        <f t="shared" si="251"/>
        <v>28000</v>
      </c>
      <c r="X226" s="1578">
        <f t="shared" si="215"/>
        <v>100</v>
      </c>
      <c r="Y226" s="2457"/>
      <c r="Z226" s="1136"/>
      <c r="AA226" s="1136"/>
      <c r="AB226" s="1293">
        <f t="shared" si="211"/>
        <v>0</v>
      </c>
      <c r="AC226" s="1293">
        <f t="shared" si="213"/>
        <v>0</v>
      </c>
      <c r="AD226" s="1293">
        <f t="shared" si="216"/>
        <v>0</v>
      </c>
      <c r="AE226" s="1293">
        <f t="shared" si="212"/>
        <v>0</v>
      </c>
      <c r="AF226" s="1294"/>
      <c r="AG226" s="1294"/>
      <c r="AH226" s="1294">
        <f t="shared" si="214"/>
        <v>0</v>
      </c>
      <c r="AI226" s="1294">
        <f t="shared" si="219"/>
        <v>0</v>
      </c>
      <c r="AJ226" s="1293">
        <f t="shared" si="217"/>
        <v>0</v>
      </c>
      <c r="AK226" s="1294"/>
      <c r="AL226" s="1294"/>
      <c r="AM226" s="1294"/>
      <c r="AN226" s="1294"/>
      <c r="AO226" s="1294"/>
      <c r="AP226" s="1294"/>
      <c r="AQ226" s="1294"/>
      <c r="AR226" s="1294">
        <f t="shared" si="224"/>
        <v>0</v>
      </c>
      <c r="AS226" s="1136"/>
      <c r="AT226" s="668">
        <f t="shared" si="225"/>
        <v>0</v>
      </c>
      <c r="AU226" s="463"/>
      <c r="AV226" s="468">
        <f t="shared" si="227"/>
        <v>0</v>
      </c>
      <c r="AW226" s="468">
        <f t="shared" si="226"/>
        <v>28000</v>
      </c>
      <c r="AX226" s="463"/>
      <c r="AY226" s="463"/>
      <c r="AZ226" s="463"/>
      <c r="BA226" s="463"/>
      <c r="BB226" s="463"/>
      <c r="BC226" s="437">
        <f t="shared" si="248"/>
        <v>0</v>
      </c>
      <c r="BD226" s="437"/>
      <c r="BE226">
        <f t="shared" si="230"/>
        <v>100</v>
      </c>
      <c r="BF226" s="437">
        <f t="shared" si="231"/>
        <v>0</v>
      </c>
    </row>
    <row r="227" spans="1:59" ht="39" customHeight="1">
      <c r="A227" s="1572"/>
      <c r="B227" s="1573"/>
      <c r="C227" s="1573"/>
      <c r="D227" s="1378" t="s">
        <v>319</v>
      </c>
      <c r="E227" s="1378"/>
      <c r="F227" s="1796">
        <v>613410</v>
      </c>
      <c r="G227" s="1838" t="s">
        <v>246</v>
      </c>
      <c r="H227" s="1608">
        <v>17000</v>
      </c>
      <c r="I227" s="1575"/>
      <c r="J227" s="1575"/>
      <c r="K227" s="1374">
        <f t="shared" si="247"/>
        <v>17000</v>
      </c>
      <c r="L227" s="1627">
        <v>17000</v>
      </c>
      <c r="M227" s="1301"/>
      <c r="N227" s="1302"/>
      <c r="O227" s="1375">
        <f t="shared" si="249"/>
        <v>17000</v>
      </c>
      <c r="P227" s="1627">
        <v>17000</v>
      </c>
      <c r="Q227" s="1301"/>
      <c r="R227" s="1302"/>
      <c r="S227" s="1375">
        <f t="shared" si="250"/>
        <v>17000</v>
      </c>
      <c r="T227" s="1627">
        <v>17000</v>
      </c>
      <c r="U227" s="1301"/>
      <c r="V227" s="1302"/>
      <c r="W227" s="1375">
        <f t="shared" si="251"/>
        <v>17000</v>
      </c>
      <c r="X227" s="1578">
        <f t="shared" si="215"/>
        <v>100</v>
      </c>
      <c r="Y227" s="2457"/>
      <c r="Z227" s="1136"/>
      <c r="AA227" s="1136"/>
      <c r="AB227" s="1293">
        <f t="shared" si="211"/>
        <v>0</v>
      </c>
      <c r="AC227" s="1293">
        <f t="shared" si="213"/>
        <v>0</v>
      </c>
      <c r="AD227" s="1293">
        <f t="shared" si="216"/>
        <v>0</v>
      </c>
      <c r="AE227" s="1293">
        <f t="shared" si="212"/>
        <v>0</v>
      </c>
      <c r="AF227" s="1294"/>
      <c r="AG227" s="1294"/>
      <c r="AH227" s="1294">
        <f t="shared" si="214"/>
        <v>0</v>
      </c>
      <c r="AI227" s="1294">
        <f t="shared" si="219"/>
        <v>0</v>
      </c>
      <c r="AJ227" s="1293">
        <f t="shared" si="217"/>
        <v>0</v>
      </c>
      <c r="AK227" s="1294"/>
      <c r="AL227" s="1294"/>
      <c r="AM227" s="1294"/>
      <c r="AN227" s="1294"/>
      <c r="AO227" s="1294"/>
      <c r="AP227" s="1294"/>
      <c r="AQ227" s="1294"/>
      <c r="AR227" s="1294">
        <f t="shared" si="224"/>
        <v>0</v>
      </c>
      <c r="AS227" s="1136"/>
      <c r="AT227" s="668">
        <f t="shared" si="225"/>
        <v>0</v>
      </c>
      <c r="AU227" s="463"/>
      <c r="AV227" s="468">
        <f t="shared" si="227"/>
        <v>0</v>
      </c>
      <c r="AW227" s="468">
        <f t="shared" si="226"/>
        <v>17000</v>
      </c>
      <c r="AX227" s="463"/>
      <c r="AY227" s="463"/>
      <c r="AZ227" s="463"/>
      <c r="BA227" s="463"/>
      <c r="BB227" s="463"/>
      <c r="BC227" s="437">
        <f t="shared" si="248"/>
        <v>0</v>
      </c>
      <c r="BD227" s="437"/>
      <c r="BE227">
        <f t="shared" si="230"/>
        <v>100</v>
      </c>
      <c r="BF227" s="437">
        <f t="shared" si="231"/>
        <v>0</v>
      </c>
    </row>
    <row r="228" spans="1:59" ht="39" customHeight="1">
      <c r="A228" s="1572"/>
      <c r="B228" s="1573"/>
      <c r="C228" s="1573"/>
      <c r="D228" s="1378" t="s">
        <v>319</v>
      </c>
      <c r="E228" s="1378"/>
      <c r="F228" s="1796">
        <v>613500</v>
      </c>
      <c r="G228" s="1837" t="s">
        <v>677</v>
      </c>
      <c r="H228" s="1608">
        <v>5000</v>
      </c>
      <c r="I228" s="1575"/>
      <c r="J228" s="1575"/>
      <c r="K228" s="1374">
        <f t="shared" si="247"/>
        <v>5000</v>
      </c>
      <c r="L228" s="1627">
        <v>5000</v>
      </c>
      <c r="M228" s="1301"/>
      <c r="N228" s="1302"/>
      <c r="O228" s="1375">
        <f t="shared" si="249"/>
        <v>5000</v>
      </c>
      <c r="P228" s="1627">
        <v>5000</v>
      </c>
      <c r="Q228" s="1301"/>
      <c r="R228" s="1302"/>
      <c r="S228" s="1375">
        <f t="shared" si="250"/>
        <v>5000</v>
      </c>
      <c r="T228" s="1627">
        <v>5000</v>
      </c>
      <c r="U228" s="1301"/>
      <c r="V228" s="1302"/>
      <c r="W228" s="1375">
        <f t="shared" si="251"/>
        <v>5000</v>
      </c>
      <c r="X228" s="1578">
        <f t="shared" si="215"/>
        <v>100</v>
      </c>
      <c r="Y228" s="2457"/>
      <c r="Z228" s="1136"/>
      <c r="AA228" s="1136"/>
      <c r="AB228" s="1293">
        <f t="shared" si="211"/>
        <v>0</v>
      </c>
      <c r="AC228" s="1293">
        <f t="shared" si="213"/>
        <v>0</v>
      </c>
      <c r="AD228" s="1293">
        <f t="shared" si="216"/>
        <v>0</v>
      </c>
      <c r="AE228" s="1293">
        <f t="shared" si="212"/>
        <v>0</v>
      </c>
      <c r="AF228" s="1294"/>
      <c r="AG228" s="1294"/>
      <c r="AH228" s="1294">
        <f t="shared" si="214"/>
        <v>0</v>
      </c>
      <c r="AI228" s="1294">
        <f t="shared" si="219"/>
        <v>0</v>
      </c>
      <c r="AJ228" s="1293">
        <f t="shared" si="217"/>
        <v>0</v>
      </c>
      <c r="AK228" s="1294"/>
      <c r="AL228" s="1294"/>
      <c r="AM228" s="1294"/>
      <c r="AN228" s="1294"/>
      <c r="AO228" s="1294"/>
      <c r="AP228" s="1294"/>
      <c r="AQ228" s="1294"/>
      <c r="AR228" s="1294">
        <f t="shared" si="224"/>
        <v>0</v>
      </c>
      <c r="AS228" s="1136"/>
      <c r="AT228" s="668">
        <f t="shared" si="225"/>
        <v>0</v>
      </c>
      <c r="AU228" s="463"/>
      <c r="AV228" s="468">
        <f t="shared" si="227"/>
        <v>0</v>
      </c>
      <c r="AW228" s="468">
        <f t="shared" si="226"/>
        <v>5000</v>
      </c>
      <c r="AX228" s="463"/>
      <c r="AY228" s="463"/>
      <c r="AZ228" s="463"/>
      <c r="BA228" s="463"/>
      <c r="BB228" s="463"/>
      <c r="BC228" s="437">
        <f t="shared" si="248"/>
        <v>0</v>
      </c>
      <c r="BD228" s="437"/>
      <c r="BE228">
        <f t="shared" si="230"/>
        <v>100</v>
      </c>
      <c r="BF228" s="437">
        <f t="shared" si="231"/>
        <v>0</v>
      </c>
    </row>
    <row r="229" spans="1:59" ht="39" customHeight="1">
      <c r="A229" s="1572"/>
      <c r="B229" s="1573"/>
      <c r="C229" s="1573"/>
      <c r="D229" s="1378" t="s">
        <v>319</v>
      </c>
      <c r="E229" s="1378"/>
      <c r="F229" s="1812" t="s">
        <v>222</v>
      </c>
      <c r="G229" s="1837" t="s">
        <v>695</v>
      </c>
      <c r="H229" s="1608">
        <v>10000</v>
      </c>
      <c r="I229" s="1575"/>
      <c r="J229" s="1575"/>
      <c r="K229" s="1374">
        <f t="shared" si="247"/>
        <v>10000</v>
      </c>
      <c r="L229" s="1627">
        <v>7000</v>
      </c>
      <c r="M229" s="1301"/>
      <c r="N229" s="1302"/>
      <c r="O229" s="1375">
        <f t="shared" si="249"/>
        <v>7000</v>
      </c>
      <c r="P229" s="1627">
        <v>7000</v>
      </c>
      <c r="Q229" s="1301"/>
      <c r="R229" s="1302"/>
      <c r="S229" s="1375">
        <f t="shared" si="250"/>
        <v>7000</v>
      </c>
      <c r="T229" s="1627">
        <v>7000</v>
      </c>
      <c r="U229" s="1301"/>
      <c r="V229" s="1302"/>
      <c r="W229" s="1375">
        <f t="shared" si="251"/>
        <v>7000</v>
      </c>
      <c r="X229" s="1578">
        <f t="shared" si="215"/>
        <v>100</v>
      </c>
      <c r="Y229" s="2457"/>
      <c r="Z229" s="1136"/>
      <c r="AA229" s="1136"/>
      <c r="AB229" s="1293">
        <f t="shared" si="211"/>
        <v>0</v>
      </c>
      <c r="AC229" s="1293">
        <f t="shared" si="213"/>
        <v>0</v>
      </c>
      <c r="AD229" s="1293">
        <f t="shared" si="216"/>
        <v>0</v>
      </c>
      <c r="AE229" s="1293">
        <f t="shared" si="212"/>
        <v>0</v>
      </c>
      <c r="AF229" s="1294"/>
      <c r="AG229" s="1294"/>
      <c r="AH229" s="1294">
        <f t="shared" si="214"/>
        <v>0</v>
      </c>
      <c r="AI229" s="1294">
        <f t="shared" si="219"/>
        <v>0</v>
      </c>
      <c r="AJ229" s="1293">
        <f t="shared" si="217"/>
        <v>0</v>
      </c>
      <c r="AK229" s="1294"/>
      <c r="AL229" s="1294"/>
      <c r="AM229" s="1294"/>
      <c r="AN229" s="1294"/>
      <c r="AO229" s="1294"/>
      <c r="AP229" s="1294"/>
      <c r="AQ229" s="1294"/>
      <c r="AR229" s="1294">
        <f t="shared" si="224"/>
        <v>0</v>
      </c>
      <c r="AS229" s="1136"/>
      <c r="AT229" s="668">
        <f t="shared" si="225"/>
        <v>0</v>
      </c>
      <c r="AU229" s="463"/>
      <c r="AV229" s="468">
        <f t="shared" si="227"/>
        <v>0</v>
      </c>
      <c r="AW229" s="468">
        <f t="shared" si="226"/>
        <v>7000</v>
      </c>
      <c r="AX229" s="463"/>
      <c r="AY229" s="463"/>
      <c r="AZ229" s="463"/>
      <c r="BA229" s="463"/>
      <c r="BB229" s="463"/>
      <c r="BC229" s="437">
        <f t="shared" si="248"/>
        <v>0</v>
      </c>
      <c r="BD229" s="437"/>
      <c r="BE229">
        <f t="shared" si="230"/>
        <v>100</v>
      </c>
      <c r="BF229" s="437">
        <f t="shared" si="231"/>
        <v>0</v>
      </c>
    </row>
    <row r="230" spans="1:59" ht="39" customHeight="1">
      <c r="A230" s="1572"/>
      <c r="B230" s="1573"/>
      <c r="C230" s="1573"/>
      <c r="D230" s="1378" t="s">
        <v>319</v>
      </c>
      <c r="E230" s="1378"/>
      <c r="F230" s="1796">
        <v>613712</v>
      </c>
      <c r="G230" s="1838" t="s">
        <v>696</v>
      </c>
      <c r="H230" s="1608">
        <v>7000</v>
      </c>
      <c r="I230" s="1575"/>
      <c r="J230" s="1575"/>
      <c r="K230" s="1374">
        <f t="shared" si="247"/>
        <v>7000</v>
      </c>
      <c r="L230" s="1627">
        <v>8000</v>
      </c>
      <c r="M230" s="1301"/>
      <c r="N230" s="1302"/>
      <c r="O230" s="1375">
        <f t="shared" si="249"/>
        <v>8000</v>
      </c>
      <c r="P230" s="1627">
        <v>8000</v>
      </c>
      <c r="Q230" s="1301"/>
      <c r="R230" s="1302"/>
      <c r="S230" s="1375">
        <f t="shared" si="250"/>
        <v>8000</v>
      </c>
      <c r="T230" s="1627">
        <v>8000</v>
      </c>
      <c r="U230" s="1301"/>
      <c r="V230" s="1302"/>
      <c r="W230" s="1375">
        <f t="shared" si="251"/>
        <v>8000</v>
      </c>
      <c r="X230" s="1578">
        <f t="shared" si="215"/>
        <v>100</v>
      </c>
      <c r="Y230" s="2457"/>
      <c r="Z230" s="1136"/>
      <c r="AA230" s="1136"/>
      <c r="AB230" s="1293">
        <f t="shared" si="211"/>
        <v>0</v>
      </c>
      <c r="AC230" s="1293">
        <f t="shared" si="213"/>
        <v>0</v>
      </c>
      <c r="AD230" s="1293">
        <f t="shared" si="216"/>
        <v>0</v>
      </c>
      <c r="AE230" s="1293">
        <f t="shared" si="212"/>
        <v>0</v>
      </c>
      <c r="AF230" s="1294"/>
      <c r="AG230" s="1294"/>
      <c r="AH230" s="1294">
        <f t="shared" si="214"/>
        <v>0</v>
      </c>
      <c r="AI230" s="1294">
        <f t="shared" si="219"/>
        <v>0</v>
      </c>
      <c r="AJ230" s="1293">
        <f t="shared" si="217"/>
        <v>0</v>
      </c>
      <c r="AK230" s="1294"/>
      <c r="AL230" s="1294"/>
      <c r="AM230" s="1294"/>
      <c r="AN230" s="1294"/>
      <c r="AO230" s="1294"/>
      <c r="AP230" s="1294"/>
      <c r="AQ230" s="1294"/>
      <c r="AR230" s="1294">
        <f t="shared" si="224"/>
        <v>0</v>
      </c>
      <c r="AS230" s="1136"/>
      <c r="AT230" s="668">
        <f t="shared" si="225"/>
        <v>0</v>
      </c>
      <c r="AU230" s="463"/>
      <c r="AV230" s="468">
        <f t="shared" si="227"/>
        <v>0</v>
      </c>
      <c r="AW230" s="468">
        <f t="shared" si="226"/>
        <v>8000</v>
      </c>
      <c r="AX230" s="463"/>
      <c r="AY230" s="463"/>
      <c r="AZ230" s="463"/>
      <c r="BA230" s="463"/>
      <c r="BB230" s="463"/>
      <c r="BC230" s="437">
        <f t="shared" si="248"/>
        <v>0</v>
      </c>
      <c r="BD230" s="437"/>
      <c r="BE230">
        <f t="shared" si="230"/>
        <v>100</v>
      </c>
      <c r="BF230" s="437">
        <f t="shared" si="231"/>
        <v>0</v>
      </c>
    </row>
    <row r="231" spans="1:59" ht="39" customHeight="1">
      <c r="A231" s="1572"/>
      <c r="B231" s="1573"/>
      <c r="C231" s="1573"/>
      <c r="D231" s="1378" t="s">
        <v>319</v>
      </c>
      <c r="E231" s="1378"/>
      <c r="F231" s="1796">
        <v>613800</v>
      </c>
      <c r="G231" s="1838" t="s">
        <v>312</v>
      </c>
      <c r="H231" s="1608">
        <v>6000</v>
      </c>
      <c r="I231" s="1575"/>
      <c r="J231" s="1575"/>
      <c r="K231" s="1374">
        <f t="shared" si="247"/>
        <v>6000</v>
      </c>
      <c r="L231" s="1627">
        <v>6000</v>
      </c>
      <c r="M231" s="1301"/>
      <c r="N231" s="1302"/>
      <c r="O231" s="1375">
        <f t="shared" si="249"/>
        <v>6000</v>
      </c>
      <c r="P231" s="1627">
        <v>6000</v>
      </c>
      <c r="Q231" s="1301"/>
      <c r="R231" s="1302"/>
      <c r="S231" s="1375">
        <f t="shared" si="250"/>
        <v>6000</v>
      </c>
      <c r="T231" s="1627">
        <v>6000</v>
      </c>
      <c r="U231" s="1301"/>
      <c r="V231" s="1302"/>
      <c r="W231" s="1375">
        <f t="shared" si="251"/>
        <v>6000</v>
      </c>
      <c r="X231" s="1578">
        <f t="shared" si="215"/>
        <v>100</v>
      </c>
      <c r="Y231" s="2457"/>
      <c r="Z231" s="1136"/>
      <c r="AA231" s="1136"/>
      <c r="AB231" s="1293">
        <f t="shared" si="211"/>
        <v>0</v>
      </c>
      <c r="AC231" s="1293">
        <f t="shared" si="213"/>
        <v>0</v>
      </c>
      <c r="AD231" s="1293">
        <f t="shared" si="216"/>
        <v>0</v>
      </c>
      <c r="AE231" s="1293">
        <f t="shared" si="212"/>
        <v>0</v>
      </c>
      <c r="AF231" s="1294"/>
      <c r="AG231" s="1294"/>
      <c r="AH231" s="1294">
        <f t="shared" si="214"/>
        <v>0</v>
      </c>
      <c r="AI231" s="1294">
        <f t="shared" si="219"/>
        <v>0</v>
      </c>
      <c r="AJ231" s="1293">
        <f t="shared" si="217"/>
        <v>0</v>
      </c>
      <c r="AK231" s="1294"/>
      <c r="AL231" s="1294"/>
      <c r="AM231" s="1294"/>
      <c r="AN231" s="1294"/>
      <c r="AO231" s="1294"/>
      <c r="AP231" s="1294"/>
      <c r="AQ231" s="1294"/>
      <c r="AR231" s="1294">
        <f t="shared" si="224"/>
        <v>0</v>
      </c>
      <c r="AS231" s="1136"/>
      <c r="AT231" s="668">
        <f t="shared" si="225"/>
        <v>0</v>
      </c>
      <c r="AU231" s="463"/>
      <c r="AV231" s="468">
        <f t="shared" si="227"/>
        <v>0</v>
      </c>
      <c r="AW231" s="468">
        <f t="shared" si="226"/>
        <v>6000</v>
      </c>
      <c r="AX231" s="463"/>
      <c r="AY231" s="463"/>
      <c r="AZ231" s="463"/>
      <c r="BA231" s="463"/>
      <c r="BB231" s="463"/>
      <c r="BC231" s="437">
        <f t="shared" si="248"/>
        <v>0</v>
      </c>
      <c r="BD231" s="437"/>
      <c r="BE231">
        <f t="shared" si="230"/>
        <v>36.477185827173081</v>
      </c>
      <c r="BF231" s="437">
        <f t="shared" si="231"/>
        <v>-63.522814172826919</v>
      </c>
    </row>
    <row r="232" spans="1:59" ht="39" customHeight="1">
      <c r="A232" s="1572"/>
      <c r="B232" s="1573"/>
      <c r="C232" s="1573"/>
      <c r="D232" s="1378" t="s">
        <v>319</v>
      </c>
      <c r="E232" s="1378" t="s">
        <v>206</v>
      </c>
      <c r="F232" s="1795">
        <v>613900</v>
      </c>
      <c r="G232" s="1836" t="s">
        <v>180</v>
      </c>
      <c r="H232" s="1380">
        <f>SUM(H233:H243)</f>
        <v>1080250</v>
      </c>
      <c r="I232" s="1380">
        <f>SUM(I233:I242)</f>
        <v>0</v>
      </c>
      <c r="J232" s="1380">
        <f>SUM(J233:J242)</f>
        <v>0</v>
      </c>
      <c r="K232" s="1381">
        <f>SUM(K233:K243)</f>
        <v>1080250</v>
      </c>
      <c r="L232" s="1601">
        <f>SUM(L233:L243)</f>
        <v>5884500</v>
      </c>
      <c r="M232" s="1303">
        <f>SUM(M233:M242)</f>
        <v>0</v>
      </c>
      <c r="N232" s="1304">
        <f>SUM(N233:N242)</f>
        <v>0</v>
      </c>
      <c r="O232" s="1336">
        <f>SUM(O233:O243)</f>
        <v>5884500</v>
      </c>
      <c r="P232" s="1601">
        <f>SUM(P233:P243)</f>
        <v>2146500</v>
      </c>
      <c r="Q232" s="1303"/>
      <c r="R232" s="1304"/>
      <c r="S232" s="1336">
        <f>SUM(S233:S243)</f>
        <v>2146500</v>
      </c>
      <c r="T232" s="1601">
        <f>SUM(T233:T243)</f>
        <v>2146500</v>
      </c>
      <c r="U232" s="1303">
        <f>SUM(U233:U242)</f>
        <v>0</v>
      </c>
      <c r="V232" s="1304">
        <f>SUM(V233:V242)</f>
        <v>0</v>
      </c>
      <c r="W232" s="1336">
        <f>SUM(W233:W243)</f>
        <v>2146500</v>
      </c>
      <c r="X232" s="1578">
        <f t="shared" si="215"/>
        <v>36.477185827173081</v>
      </c>
      <c r="Y232" s="2457">
        <f>'[1]PRIH REBALANS'!$AK$562</f>
        <v>2146500</v>
      </c>
      <c r="Z232" s="1136"/>
      <c r="AA232" s="1136">
        <f>'[9]PRIH REBALANS'!$AK$562</f>
        <v>2146500</v>
      </c>
      <c r="AB232" s="1293">
        <f t="shared" si="211"/>
        <v>0</v>
      </c>
      <c r="AC232" s="1293">
        <f t="shared" si="213"/>
        <v>0</v>
      </c>
      <c r="AD232" s="1293">
        <f t="shared" ref="AD232:AD248" si="252">W232-O232</f>
        <v>-3738000</v>
      </c>
      <c r="AE232" s="1293">
        <f t="shared" si="212"/>
        <v>0</v>
      </c>
      <c r="AF232" s="1294"/>
      <c r="AG232" s="1294"/>
      <c r="AH232" s="1294">
        <f t="shared" si="214"/>
        <v>-3738000</v>
      </c>
      <c r="AI232" s="1294">
        <f t="shared" si="219"/>
        <v>0</v>
      </c>
      <c r="AJ232" s="1293">
        <f t="shared" si="217"/>
        <v>0</v>
      </c>
      <c r="AK232" s="1294"/>
      <c r="AL232" s="1294"/>
      <c r="AM232" s="1294"/>
      <c r="AN232" s="1294"/>
      <c r="AO232" s="1294"/>
      <c r="AP232" s="1294"/>
      <c r="AQ232" s="1294"/>
      <c r="AR232" s="1294">
        <f t="shared" si="224"/>
        <v>0</v>
      </c>
      <c r="AS232" s="1136">
        <f>SUM(W233:W243)</f>
        <v>2146500</v>
      </c>
      <c r="AT232" s="668">
        <f t="shared" si="225"/>
        <v>0</v>
      </c>
      <c r="AU232" s="463">
        <f>SUM(W233:W243)</f>
        <v>2146500</v>
      </c>
      <c r="AV232" s="468">
        <f t="shared" si="227"/>
        <v>0</v>
      </c>
      <c r="AW232" s="468">
        <f t="shared" si="226"/>
        <v>2146500</v>
      </c>
      <c r="AX232" s="463"/>
      <c r="AY232" s="463"/>
      <c r="AZ232" s="463"/>
      <c r="BA232" s="463"/>
      <c r="BB232" s="463"/>
      <c r="BC232" s="437">
        <f>'[2]PRIH REBALANS'!$AK$581</f>
        <v>5884500</v>
      </c>
      <c r="BD232" s="437">
        <f>BC232-W232</f>
        <v>3738000</v>
      </c>
      <c r="BE232">
        <f t="shared" si="230"/>
        <v>100</v>
      </c>
      <c r="BF232" s="437">
        <f t="shared" si="231"/>
        <v>63.522814172826919</v>
      </c>
      <c r="BG232" s="209">
        <f>SUM(W233:W243)</f>
        <v>2146500</v>
      </c>
    </row>
    <row r="233" spans="1:59" ht="39" customHeight="1">
      <c r="A233" s="1572"/>
      <c r="B233" s="1573"/>
      <c r="C233" s="1573"/>
      <c r="D233" s="1378" t="s">
        <v>319</v>
      </c>
      <c r="E233" s="1378"/>
      <c r="F233" s="1796">
        <v>613914</v>
      </c>
      <c r="G233" s="1838" t="s">
        <v>224</v>
      </c>
      <c r="H233" s="1575">
        <v>1000</v>
      </c>
      <c r="I233" s="1608"/>
      <c r="J233" s="1608"/>
      <c r="K233" s="1374">
        <f t="shared" ref="K233:K248" si="253">SUM(H233:J233)</f>
        <v>1000</v>
      </c>
      <c r="L233" s="1577">
        <v>2000</v>
      </c>
      <c r="M233" s="1331"/>
      <c r="N233" s="1332"/>
      <c r="O233" s="1375">
        <f>SUM(L233:N233)</f>
        <v>2000</v>
      </c>
      <c r="P233" s="1577">
        <v>2000</v>
      </c>
      <c r="Q233" s="1331"/>
      <c r="R233" s="1332"/>
      <c r="S233" s="1375">
        <f>SUM(P233:R233)</f>
        <v>2000</v>
      </c>
      <c r="T233" s="1577">
        <v>2000</v>
      </c>
      <c r="U233" s="1331"/>
      <c r="V233" s="1332"/>
      <c r="W233" s="1375">
        <f>SUM(T233:V233)</f>
        <v>2000</v>
      </c>
      <c r="X233" s="1578">
        <f t="shared" si="215"/>
        <v>100</v>
      </c>
      <c r="Y233" s="2457"/>
      <c r="Z233" s="1136"/>
      <c r="AA233" s="1136"/>
      <c r="AB233" s="1293">
        <f t="shared" si="211"/>
        <v>0</v>
      </c>
      <c r="AC233" s="1293">
        <f t="shared" si="213"/>
        <v>0</v>
      </c>
      <c r="AD233" s="1293">
        <f t="shared" si="252"/>
        <v>0</v>
      </c>
      <c r="AE233" s="1293">
        <f t="shared" si="212"/>
        <v>0</v>
      </c>
      <c r="AF233" s="1294"/>
      <c r="AG233" s="1294"/>
      <c r="AH233" s="1294">
        <f t="shared" si="214"/>
        <v>0</v>
      </c>
      <c r="AI233" s="1294">
        <f t="shared" si="219"/>
        <v>0</v>
      </c>
      <c r="AJ233" s="1293">
        <f t="shared" si="217"/>
        <v>0</v>
      </c>
      <c r="AK233" s="1294"/>
      <c r="AL233" s="1294"/>
      <c r="AM233" s="1294"/>
      <c r="AN233" s="1294"/>
      <c r="AO233" s="1294"/>
      <c r="AP233" s="1294"/>
      <c r="AQ233" s="1294"/>
      <c r="AR233" s="1294">
        <f t="shared" si="224"/>
        <v>0</v>
      </c>
      <c r="AS233" s="1136"/>
      <c r="AT233" s="668">
        <f t="shared" si="225"/>
        <v>0</v>
      </c>
      <c r="AU233" s="463"/>
      <c r="AV233" s="468">
        <f t="shared" si="227"/>
        <v>0</v>
      </c>
      <c r="AW233" s="468">
        <f t="shared" si="226"/>
        <v>2000</v>
      </c>
      <c r="AX233" s="463"/>
      <c r="AY233" s="463"/>
      <c r="AZ233" s="463"/>
      <c r="BA233" s="463"/>
      <c r="BB233" s="463"/>
      <c r="BC233" s="437">
        <f t="shared" ref="BC233:BC248" si="254">T233+U233+V233+-W233</f>
        <v>0</v>
      </c>
      <c r="BD233" s="437"/>
      <c r="BE233">
        <f t="shared" si="230"/>
        <v>100</v>
      </c>
      <c r="BF233" s="437">
        <f t="shared" si="231"/>
        <v>0</v>
      </c>
    </row>
    <row r="234" spans="1:59" ht="39" customHeight="1">
      <c r="A234" s="1572"/>
      <c r="B234" s="1573"/>
      <c r="C234" s="1573"/>
      <c r="D234" s="1378" t="s">
        <v>319</v>
      </c>
      <c r="E234" s="1378"/>
      <c r="F234" s="1796">
        <v>613920</v>
      </c>
      <c r="G234" s="1838" t="s">
        <v>568</v>
      </c>
      <c r="H234" s="1575">
        <v>2250</v>
      </c>
      <c r="I234" s="1608"/>
      <c r="J234" s="1608"/>
      <c r="K234" s="1374">
        <f t="shared" si="253"/>
        <v>2250</v>
      </c>
      <c r="L234" s="1577">
        <v>4000</v>
      </c>
      <c r="M234" s="1331"/>
      <c r="N234" s="1332"/>
      <c r="O234" s="1375">
        <f t="shared" ref="O234:O243" si="255">SUM(L234:N234)</f>
        <v>4000</v>
      </c>
      <c r="P234" s="1577">
        <v>4000</v>
      </c>
      <c r="Q234" s="1331"/>
      <c r="R234" s="1332"/>
      <c r="S234" s="1375">
        <f t="shared" ref="S234:S243" si="256">SUM(P234:R234)</f>
        <v>4000</v>
      </c>
      <c r="T234" s="1577">
        <v>4000</v>
      </c>
      <c r="U234" s="1331"/>
      <c r="V234" s="1332"/>
      <c r="W234" s="1375">
        <f t="shared" ref="W234:W245" si="257">SUM(T234:V234)</f>
        <v>4000</v>
      </c>
      <c r="X234" s="1578">
        <f t="shared" si="215"/>
        <v>100</v>
      </c>
      <c r="Y234" s="2457"/>
      <c r="Z234" s="1136"/>
      <c r="AA234" s="1136"/>
      <c r="AB234" s="1293">
        <f t="shared" si="211"/>
        <v>0</v>
      </c>
      <c r="AC234" s="1293">
        <f t="shared" si="213"/>
        <v>0</v>
      </c>
      <c r="AD234" s="1293">
        <f t="shared" si="252"/>
        <v>0</v>
      </c>
      <c r="AE234" s="1293">
        <f t="shared" si="212"/>
        <v>0</v>
      </c>
      <c r="AF234" s="1294"/>
      <c r="AG234" s="1294"/>
      <c r="AH234" s="1294">
        <f t="shared" si="214"/>
        <v>0</v>
      </c>
      <c r="AI234" s="1294">
        <f t="shared" ref="AI234:AI265" si="258">T234+U234+V234-W234</f>
        <v>0</v>
      </c>
      <c r="AJ234" s="1293">
        <f t="shared" si="217"/>
        <v>0</v>
      </c>
      <c r="AK234" s="1294"/>
      <c r="AL234" s="1294"/>
      <c r="AM234" s="1294"/>
      <c r="AN234" s="1294"/>
      <c r="AO234" s="1294"/>
      <c r="AP234" s="1294"/>
      <c r="AQ234" s="1294"/>
      <c r="AR234" s="1294">
        <f t="shared" si="224"/>
        <v>0</v>
      </c>
      <c r="AS234" s="1136"/>
      <c r="AT234" s="668">
        <f t="shared" si="225"/>
        <v>0</v>
      </c>
      <c r="AU234" s="463"/>
      <c r="AV234" s="468">
        <f t="shared" si="227"/>
        <v>0</v>
      </c>
      <c r="AW234" s="468">
        <f t="shared" si="226"/>
        <v>4000</v>
      </c>
      <c r="AX234" s="463"/>
      <c r="AY234" s="463"/>
      <c r="AZ234" s="463"/>
      <c r="BA234" s="463"/>
      <c r="BB234" s="463"/>
      <c r="BC234" s="437">
        <f t="shared" si="254"/>
        <v>0</v>
      </c>
      <c r="BD234" s="437"/>
      <c r="BE234">
        <f t="shared" si="230"/>
        <v>19.444444444444446</v>
      </c>
      <c r="BF234" s="437">
        <f t="shared" si="231"/>
        <v>-80.555555555555557</v>
      </c>
    </row>
    <row r="235" spans="1:59" ht="39" customHeight="1">
      <c r="A235" s="1572"/>
      <c r="B235" s="1573"/>
      <c r="C235" s="1573"/>
      <c r="D235" s="1378" t="s">
        <v>319</v>
      </c>
      <c r="E235" s="1378"/>
      <c r="F235" s="1796">
        <v>613961</v>
      </c>
      <c r="G235" s="1850" t="s">
        <v>697</v>
      </c>
      <c r="H235" s="1575">
        <v>420000</v>
      </c>
      <c r="I235" s="1608"/>
      <c r="J235" s="1608"/>
      <c r="K235" s="1374">
        <f t="shared" si="253"/>
        <v>420000</v>
      </c>
      <c r="L235" s="1577">
        <v>1800000</v>
      </c>
      <c r="M235" s="1331"/>
      <c r="N235" s="1332"/>
      <c r="O235" s="1375">
        <f t="shared" si="255"/>
        <v>1800000</v>
      </c>
      <c r="P235" s="1577">
        <v>350000</v>
      </c>
      <c r="Q235" s="1331"/>
      <c r="R235" s="1332"/>
      <c r="S235" s="1375">
        <f t="shared" si="256"/>
        <v>350000</v>
      </c>
      <c r="T235" s="1577">
        <v>350000</v>
      </c>
      <c r="U235" s="1331"/>
      <c r="V235" s="1332"/>
      <c r="W235" s="1375">
        <f t="shared" si="257"/>
        <v>350000</v>
      </c>
      <c r="X235" s="1578">
        <f t="shared" si="215"/>
        <v>19.444444444444446</v>
      </c>
      <c r="Y235" s="2457"/>
      <c r="Z235" s="1136"/>
      <c r="AA235" s="1136"/>
      <c r="AB235" s="1293">
        <f t="shared" si="211"/>
        <v>0</v>
      </c>
      <c r="AC235" s="1293">
        <f t="shared" si="213"/>
        <v>0</v>
      </c>
      <c r="AD235" s="1293">
        <f t="shared" si="252"/>
        <v>-1450000</v>
      </c>
      <c r="AE235" s="1293">
        <f t="shared" si="212"/>
        <v>0</v>
      </c>
      <c r="AF235" s="1294"/>
      <c r="AG235" s="1294"/>
      <c r="AH235" s="1294">
        <f t="shared" si="214"/>
        <v>-1450000</v>
      </c>
      <c r="AI235" s="1294">
        <f t="shared" si="258"/>
        <v>0</v>
      </c>
      <c r="AJ235" s="1293">
        <f t="shared" si="217"/>
        <v>0</v>
      </c>
      <c r="AK235" s="1294"/>
      <c r="AL235" s="1294"/>
      <c r="AM235" s="1294"/>
      <c r="AN235" s="1294"/>
      <c r="AO235" s="1294"/>
      <c r="AP235" s="1294"/>
      <c r="AQ235" s="1294"/>
      <c r="AR235" s="1294">
        <f t="shared" si="224"/>
        <v>0</v>
      </c>
      <c r="AS235" s="1136"/>
      <c r="AT235" s="668">
        <f t="shared" si="225"/>
        <v>0</v>
      </c>
      <c r="AU235" s="978" t="s">
        <v>1557</v>
      </c>
      <c r="AV235" s="468">
        <f t="shared" si="227"/>
        <v>0</v>
      </c>
      <c r="AW235" s="468">
        <f t="shared" si="226"/>
        <v>350000</v>
      </c>
      <c r="AX235" s="463"/>
      <c r="AY235" s="463"/>
      <c r="AZ235" s="463"/>
      <c r="BA235" s="463"/>
      <c r="BB235" s="463"/>
      <c r="BC235" s="437">
        <f t="shared" si="254"/>
        <v>0</v>
      </c>
      <c r="BD235" s="437"/>
      <c r="BE235">
        <f t="shared" si="230"/>
        <v>42.5</v>
      </c>
      <c r="BF235" s="437">
        <f t="shared" si="231"/>
        <v>23.055555555555554</v>
      </c>
    </row>
    <row r="236" spans="1:59" ht="39" customHeight="1">
      <c r="A236" s="1572"/>
      <c r="B236" s="1573"/>
      <c r="C236" s="1573"/>
      <c r="D236" s="1378" t="s">
        <v>319</v>
      </c>
      <c r="E236" s="1378"/>
      <c r="F236" s="1796">
        <v>613962</v>
      </c>
      <c r="G236" s="1850" t="s">
        <v>698</v>
      </c>
      <c r="H236" s="1575">
        <v>600000</v>
      </c>
      <c r="I236" s="1608"/>
      <c r="J236" s="1608"/>
      <c r="K236" s="1374">
        <f t="shared" si="253"/>
        <v>600000</v>
      </c>
      <c r="L236" s="1577">
        <v>4000000</v>
      </c>
      <c r="M236" s="1331"/>
      <c r="N236" s="1332"/>
      <c r="O236" s="1375">
        <f t="shared" si="255"/>
        <v>4000000</v>
      </c>
      <c r="P236" s="1577">
        <v>1700000</v>
      </c>
      <c r="Q236" s="1331"/>
      <c r="R236" s="1332"/>
      <c r="S236" s="1375">
        <f t="shared" si="256"/>
        <v>1700000</v>
      </c>
      <c r="T236" s="1577">
        <v>1700000</v>
      </c>
      <c r="U236" s="1331"/>
      <c r="V236" s="1332"/>
      <c r="W236" s="1375">
        <f t="shared" si="257"/>
        <v>1700000</v>
      </c>
      <c r="X236" s="1578">
        <f t="shared" si="215"/>
        <v>42.5</v>
      </c>
      <c r="Y236" s="2457"/>
      <c r="Z236" s="1136"/>
      <c r="AA236" s="1136"/>
      <c r="AB236" s="1293">
        <f t="shared" si="211"/>
        <v>0</v>
      </c>
      <c r="AC236" s="1293">
        <f t="shared" si="213"/>
        <v>0</v>
      </c>
      <c r="AD236" s="1293">
        <f t="shared" si="252"/>
        <v>-2300000</v>
      </c>
      <c r="AE236" s="1293">
        <f t="shared" si="212"/>
        <v>0</v>
      </c>
      <c r="AF236" s="1294"/>
      <c r="AG236" s="1294"/>
      <c r="AH236" s="1294">
        <f t="shared" si="214"/>
        <v>-2300000</v>
      </c>
      <c r="AI236" s="1294">
        <f t="shared" si="258"/>
        <v>0</v>
      </c>
      <c r="AJ236" s="1293">
        <f t="shared" si="217"/>
        <v>0</v>
      </c>
      <c r="AK236" s="1294"/>
      <c r="AL236" s="1294"/>
      <c r="AM236" s="1294"/>
      <c r="AN236" s="1294"/>
      <c r="AO236" s="1294"/>
      <c r="AP236" s="1294"/>
      <c r="AQ236" s="1294"/>
      <c r="AR236" s="1294">
        <f t="shared" si="224"/>
        <v>0</v>
      </c>
      <c r="AS236" s="1136"/>
      <c r="AT236" s="668">
        <f t="shared" si="225"/>
        <v>0</v>
      </c>
      <c r="AU236" s="463"/>
      <c r="AV236" s="468">
        <f t="shared" si="227"/>
        <v>0</v>
      </c>
      <c r="AW236" s="468">
        <f t="shared" si="226"/>
        <v>1700000</v>
      </c>
      <c r="AX236" s="463"/>
      <c r="AY236" s="463"/>
      <c r="AZ236" s="463"/>
      <c r="BA236" s="463"/>
      <c r="BB236" s="463"/>
      <c r="BC236" s="437">
        <f t="shared" si="254"/>
        <v>0</v>
      </c>
      <c r="BD236" s="437"/>
      <c r="BE236">
        <f t="shared" si="230"/>
        <v>100</v>
      </c>
      <c r="BF236" s="437">
        <f t="shared" si="231"/>
        <v>57.5</v>
      </c>
    </row>
    <row r="237" spans="1:59" ht="39" customHeight="1">
      <c r="A237" s="1572"/>
      <c r="B237" s="1573"/>
      <c r="C237" s="1573"/>
      <c r="D237" s="1378" t="s">
        <v>319</v>
      </c>
      <c r="E237" s="1378"/>
      <c r="F237" s="1796" t="s">
        <v>313</v>
      </c>
      <c r="G237" s="1838" t="s">
        <v>314</v>
      </c>
      <c r="H237" s="1575">
        <v>2500</v>
      </c>
      <c r="I237" s="1608"/>
      <c r="J237" s="1608"/>
      <c r="K237" s="1374">
        <f t="shared" si="253"/>
        <v>2500</v>
      </c>
      <c r="L237" s="1577">
        <v>10000</v>
      </c>
      <c r="M237" s="1331"/>
      <c r="N237" s="1332"/>
      <c r="O237" s="1375">
        <f t="shared" si="255"/>
        <v>10000</v>
      </c>
      <c r="P237" s="1577">
        <v>10000</v>
      </c>
      <c r="Q237" s="1331"/>
      <c r="R237" s="1332"/>
      <c r="S237" s="1375">
        <f t="shared" si="256"/>
        <v>10000</v>
      </c>
      <c r="T237" s="1577">
        <v>10000</v>
      </c>
      <c r="U237" s="1331"/>
      <c r="V237" s="1332"/>
      <c r="W237" s="1375">
        <f t="shared" si="257"/>
        <v>10000</v>
      </c>
      <c r="X237" s="1578">
        <f t="shared" si="215"/>
        <v>100</v>
      </c>
      <c r="Y237" s="2457"/>
      <c r="Z237" s="1136"/>
      <c r="AA237" s="1136"/>
      <c r="AB237" s="1293">
        <f t="shared" si="211"/>
        <v>0</v>
      </c>
      <c r="AC237" s="1293">
        <f t="shared" si="213"/>
        <v>0</v>
      </c>
      <c r="AD237" s="1293">
        <f t="shared" si="252"/>
        <v>0</v>
      </c>
      <c r="AE237" s="1293">
        <f t="shared" si="212"/>
        <v>0</v>
      </c>
      <c r="AF237" s="1294"/>
      <c r="AG237" s="1294"/>
      <c r="AH237" s="1294">
        <f t="shared" si="214"/>
        <v>0</v>
      </c>
      <c r="AI237" s="1294">
        <f t="shared" si="258"/>
        <v>0</v>
      </c>
      <c r="AJ237" s="1293">
        <f t="shared" si="217"/>
        <v>0</v>
      </c>
      <c r="AK237" s="1294"/>
      <c r="AL237" s="1294"/>
      <c r="AM237" s="1294"/>
      <c r="AN237" s="1294"/>
      <c r="AO237" s="1294"/>
      <c r="AP237" s="1294"/>
      <c r="AQ237" s="1294"/>
      <c r="AR237" s="1294">
        <f t="shared" si="224"/>
        <v>0</v>
      </c>
      <c r="AS237" s="1136"/>
      <c r="AT237" s="668">
        <f t="shared" si="225"/>
        <v>0</v>
      </c>
      <c r="AU237" s="463"/>
      <c r="AV237" s="468">
        <f t="shared" si="227"/>
        <v>0</v>
      </c>
      <c r="AW237" s="468">
        <f t="shared" si="226"/>
        <v>10000</v>
      </c>
      <c r="AX237" s="463"/>
      <c r="AY237" s="463"/>
      <c r="AZ237" s="463"/>
      <c r="BA237" s="463"/>
      <c r="BB237" s="463"/>
      <c r="BC237" s="437">
        <f t="shared" si="254"/>
        <v>0</v>
      </c>
      <c r="BD237" s="437"/>
      <c r="BE237">
        <f t="shared" si="230"/>
        <v>100</v>
      </c>
      <c r="BF237" s="437">
        <f t="shared" si="231"/>
        <v>0</v>
      </c>
    </row>
    <row r="238" spans="1:59" ht="39" customHeight="1">
      <c r="A238" s="1572"/>
      <c r="B238" s="1573"/>
      <c r="C238" s="1573"/>
      <c r="D238" s="1378" t="s">
        <v>319</v>
      </c>
      <c r="E238" s="1378"/>
      <c r="F238" s="1796" t="s">
        <v>315</v>
      </c>
      <c r="G238" s="1838" t="s">
        <v>699</v>
      </c>
      <c r="H238" s="1575">
        <v>20000</v>
      </c>
      <c r="I238" s="1608"/>
      <c r="J238" s="1608"/>
      <c r="K238" s="1374">
        <f t="shared" si="253"/>
        <v>20000</v>
      </c>
      <c r="L238" s="1577">
        <v>25000</v>
      </c>
      <c r="M238" s="1331"/>
      <c r="N238" s="1332"/>
      <c r="O238" s="1375">
        <f t="shared" si="255"/>
        <v>25000</v>
      </c>
      <c r="P238" s="1577">
        <v>25000</v>
      </c>
      <c r="Q238" s="1331"/>
      <c r="R238" s="1332"/>
      <c r="S238" s="1375">
        <f t="shared" si="256"/>
        <v>25000</v>
      </c>
      <c r="T238" s="1577">
        <v>25000</v>
      </c>
      <c r="U238" s="1331"/>
      <c r="V238" s="1332"/>
      <c r="W238" s="1375">
        <f t="shared" si="257"/>
        <v>25000</v>
      </c>
      <c r="X238" s="1578">
        <f t="shared" si="215"/>
        <v>100</v>
      </c>
      <c r="Y238" s="2457"/>
      <c r="Z238" s="1136"/>
      <c r="AA238" s="1136"/>
      <c r="AB238" s="1293">
        <f t="shared" si="211"/>
        <v>0</v>
      </c>
      <c r="AC238" s="1293">
        <f t="shared" si="213"/>
        <v>0</v>
      </c>
      <c r="AD238" s="1293">
        <f t="shared" si="252"/>
        <v>0</v>
      </c>
      <c r="AE238" s="1293">
        <f t="shared" si="212"/>
        <v>0</v>
      </c>
      <c r="AF238" s="1294"/>
      <c r="AG238" s="1294"/>
      <c r="AH238" s="1294">
        <f t="shared" si="214"/>
        <v>0</v>
      </c>
      <c r="AI238" s="1294">
        <f t="shared" si="258"/>
        <v>0</v>
      </c>
      <c r="AJ238" s="1293">
        <f t="shared" si="217"/>
        <v>0</v>
      </c>
      <c r="AK238" s="1294"/>
      <c r="AL238" s="1294"/>
      <c r="AM238" s="1294"/>
      <c r="AN238" s="1294"/>
      <c r="AO238" s="1294"/>
      <c r="AP238" s="1294"/>
      <c r="AQ238" s="1294"/>
      <c r="AR238" s="1294">
        <f t="shared" si="224"/>
        <v>0</v>
      </c>
      <c r="AS238" s="1136"/>
      <c r="AT238" s="668">
        <f t="shared" si="225"/>
        <v>0</v>
      </c>
      <c r="AU238" s="463"/>
      <c r="AV238" s="468">
        <f t="shared" si="227"/>
        <v>0</v>
      </c>
      <c r="AW238" s="468">
        <f t="shared" si="226"/>
        <v>25000</v>
      </c>
      <c r="AX238" s="463"/>
      <c r="AY238" s="463"/>
      <c r="AZ238" s="463"/>
      <c r="BA238" s="463"/>
      <c r="BB238" s="463"/>
      <c r="BC238" s="437">
        <f t="shared" si="254"/>
        <v>0</v>
      </c>
      <c r="BD238" s="437"/>
      <c r="BE238">
        <f t="shared" si="230"/>
        <v>150</v>
      </c>
      <c r="BF238" s="437">
        <f t="shared" si="231"/>
        <v>50</v>
      </c>
    </row>
    <row r="239" spans="1:59" ht="39" customHeight="1">
      <c r="A239" s="1572"/>
      <c r="B239" s="1573"/>
      <c r="C239" s="1573"/>
      <c r="D239" s="1378" t="s">
        <v>319</v>
      </c>
      <c r="E239" s="1378"/>
      <c r="F239" s="1796">
        <v>613983</v>
      </c>
      <c r="G239" s="1838" t="s">
        <v>705</v>
      </c>
      <c r="H239" s="1575">
        <v>5000</v>
      </c>
      <c r="I239" s="1608"/>
      <c r="J239" s="1608"/>
      <c r="K239" s="1374">
        <f t="shared" si="253"/>
        <v>5000</v>
      </c>
      <c r="L239" s="1577">
        <v>4000</v>
      </c>
      <c r="M239" s="1331"/>
      <c r="N239" s="1332"/>
      <c r="O239" s="1375">
        <f t="shared" si="255"/>
        <v>4000</v>
      </c>
      <c r="P239" s="1577">
        <v>6000</v>
      </c>
      <c r="Q239" s="1331"/>
      <c r="R239" s="1332"/>
      <c r="S239" s="1375">
        <f t="shared" si="256"/>
        <v>6000</v>
      </c>
      <c r="T239" s="1577">
        <v>6000</v>
      </c>
      <c r="U239" s="1331"/>
      <c r="V239" s="1332"/>
      <c r="W239" s="1375">
        <f t="shared" si="257"/>
        <v>6000</v>
      </c>
      <c r="X239" s="1578">
        <f t="shared" si="215"/>
        <v>150</v>
      </c>
      <c r="Y239" s="2457"/>
      <c r="Z239" s="1136"/>
      <c r="AA239" s="1136"/>
      <c r="AB239" s="1293">
        <f t="shared" si="211"/>
        <v>0</v>
      </c>
      <c r="AC239" s="1293">
        <f t="shared" si="213"/>
        <v>0</v>
      </c>
      <c r="AD239" s="1293">
        <f t="shared" si="252"/>
        <v>2000</v>
      </c>
      <c r="AE239" s="1293">
        <f t="shared" si="212"/>
        <v>0</v>
      </c>
      <c r="AF239" s="1294"/>
      <c r="AG239" s="1294"/>
      <c r="AH239" s="1294">
        <f t="shared" si="214"/>
        <v>2000</v>
      </c>
      <c r="AI239" s="1294">
        <f t="shared" si="258"/>
        <v>0</v>
      </c>
      <c r="AJ239" s="1293">
        <f t="shared" si="217"/>
        <v>0</v>
      </c>
      <c r="AK239" s="1294"/>
      <c r="AL239" s="1294"/>
      <c r="AM239" s="1294"/>
      <c r="AN239" s="1294"/>
      <c r="AO239" s="1294"/>
      <c r="AP239" s="1294"/>
      <c r="AQ239" s="1294"/>
      <c r="AR239" s="1294">
        <f t="shared" si="224"/>
        <v>0</v>
      </c>
      <c r="AS239" s="1136"/>
      <c r="AT239" s="668">
        <f t="shared" si="225"/>
        <v>0</v>
      </c>
      <c r="AU239" s="463"/>
      <c r="AV239" s="468">
        <f t="shared" si="227"/>
        <v>0</v>
      </c>
      <c r="AW239" s="468">
        <f t="shared" si="226"/>
        <v>6000</v>
      </c>
      <c r="AX239" s="463"/>
      <c r="AY239" s="463"/>
      <c r="AZ239" s="463"/>
      <c r="BA239" s="463"/>
      <c r="BB239" s="463"/>
      <c r="BC239" s="437">
        <f t="shared" si="254"/>
        <v>0</v>
      </c>
      <c r="BD239" s="437"/>
      <c r="BE239">
        <f t="shared" si="230"/>
        <v>100</v>
      </c>
      <c r="BF239" s="437">
        <f t="shared" si="231"/>
        <v>-50</v>
      </c>
    </row>
    <row r="240" spans="1:59" ht="39" customHeight="1">
      <c r="A240" s="1572"/>
      <c r="B240" s="1573"/>
      <c r="C240" s="1573"/>
      <c r="D240" s="1378" t="s">
        <v>319</v>
      </c>
      <c r="E240" s="1378"/>
      <c r="F240" s="1796" t="s">
        <v>316</v>
      </c>
      <c r="G240" s="1838" t="s">
        <v>317</v>
      </c>
      <c r="H240" s="1575">
        <v>6500</v>
      </c>
      <c r="I240" s="1608"/>
      <c r="J240" s="1608"/>
      <c r="K240" s="1374">
        <f t="shared" si="253"/>
        <v>6500</v>
      </c>
      <c r="L240" s="1577">
        <v>6500</v>
      </c>
      <c r="M240" s="1331"/>
      <c r="N240" s="1332"/>
      <c r="O240" s="1375">
        <f t="shared" si="255"/>
        <v>6500</v>
      </c>
      <c r="P240" s="1577">
        <v>6500</v>
      </c>
      <c r="Q240" s="1331"/>
      <c r="R240" s="1332"/>
      <c r="S240" s="1375">
        <f t="shared" si="256"/>
        <v>6500</v>
      </c>
      <c r="T240" s="1577">
        <v>6500</v>
      </c>
      <c r="U240" s="1331"/>
      <c r="V240" s="1332"/>
      <c r="W240" s="1375">
        <f t="shared" si="257"/>
        <v>6500</v>
      </c>
      <c r="X240" s="1578">
        <f t="shared" si="215"/>
        <v>100</v>
      </c>
      <c r="Y240" s="2457"/>
      <c r="Z240" s="1136"/>
      <c r="AA240" s="1136"/>
      <c r="AB240" s="1293">
        <f t="shared" si="211"/>
        <v>0</v>
      </c>
      <c r="AC240" s="1293">
        <f t="shared" si="213"/>
        <v>0</v>
      </c>
      <c r="AD240" s="1293">
        <f t="shared" si="252"/>
        <v>0</v>
      </c>
      <c r="AE240" s="1293">
        <f t="shared" si="212"/>
        <v>0</v>
      </c>
      <c r="AF240" s="1294"/>
      <c r="AG240" s="1294"/>
      <c r="AH240" s="1294">
        <f t="shared" si="214"/>
        <v>0</v>
      </c>
      <c r="AI240" s="1294">
        <f t="shared" si="258"/>
        <v>0</v>
      </c>
      <c r="AJ240" s="1293">
        <f t="shared" si="217"/>
        <v>0</v>
      </c>
      <c r="AK240" s="1294"/>
      <c r="AL240" s="1294"/>
      <c r="AM240" s="1294"/>
      <c r="AN240" s="1294"/>
      <c r="AO240" s="1294"/>
      <c r="AP240" s="1294"/>
      <c r="AQ240" s="1294"/>
      <c r="AR240" s="1294">
        <f t="shared" si="224"/>
        <v>0</v>
      </c>
      <c r="AS240" s="1136"/>
      <c r="AT240" s="668">
        <f t="shared" si="225"/>
        <v>0</v>
      </c>
      <c r="AU240" s="463"/>
      <c r="AV240" s="468">
        <f t="shared" si="227"/>
        <v>0</v>
      </c>
      <c r="AW240" s="468">
        <f t="shared" si="226"/>
        <v>6500</v>
      </c>
      <c r="AX240" s="463"/>
      <c r="AY240" s="463"/>
      <c r="AZ240" s="463"/>
      <c r="BA240" s="463"/>
      <c r="BB240" s="463"/>
      <c r="BC240" s="437">
        <f t="shared" si="254"/>
        <v>0</v>
      </c>
      <c r="BD240" s="437"/>
      <c r="BE240">
        <f t="shared" si="230"/>
        <v>66.666666666666657</v>
      </c>
      <c r="BF240" s="437">
        <f t="shared" si="231"/>
        <v>-33.333333333333343</v>
      </c>
    </row>
    <row r="241" spans="1:60" ht="39" customHeight="1">
      <c r="A241" s="1572"/>
      <c r="B241" s="1573"/>
      <c r="C241" s="1573"/>
      <c r="D241" s="1378" t="s">
        <v>319</v>
      </c>
      <c r="E241" s="1378"/>
      <c r="F241" s="1796">
        <v>613990</v>
      </c>
      <c r="G241" s="1838" t="s">
        <v>235</v>
      </c>
      <c r="H241" s="1575">
        <v>15000</v>
      </c>
      <c r="I241" s="1608"/>
      <c r="J241" s="1608"/>
      <c r="K241" s="1374">
        <f t="shared" si="253"/>
        <v>15000</v>
      </c>
      <c r="L241" s="1577">
        <v>30000</v>
      </c>
      <c r="M241" s="1331"/>
      <c r="N241" s="1332"/>
      <c r="O241" s="1375">
        <f t="shared" si="255"/>
        <v>30000</v>
      </c>
      <c r="P241" s="1577">
        <v>20000</v>
      </c>
      <c r="Q241" s="1331"/>
      <c r="R241" s="1332"/>
      <c r="S241" s="1375">
        <f t="shared" si="256"/>
        <v>20000</v>
      </c>
      <c r="T241" s="1577">
        <v>20000</v>
      </c>
      <c r="U241" s="1331"/>
      <c r="V241" s="1332"/>
      <c r="W241" s="1375">
        <f t="shared" si="257"/>
        <v>20000</v>
      </c>
      <c r="X241" s="1578">
        <f t="shared" si="215"/>
        <v>66.666666666666657</v>
      </c>
      <c r="Y241" s="2457"/>
      <c r="Z241" s="1136"/>
      <c r="AA241" s="1136"/>
      <c r="AB241" s="1293">
        <f t="shared" si="211"/>
        <v>0</v>
      </c>
      <c r="AC241" s="1293">
        <f t="shared" si="213"/>
        <v>0</v>
      </c>
      <c r="AD241" s="1293">
        <f t="shared" si="252"/>
        <v>-10000</v>
      </c>
      <c r="AE241" s="1293">
        <f t="shared" si="212"/>
        <v>0</v>
      </c>
      <c r="AF241" s="1294"/>
      <c r="AG241" s="1294"/>
      <c r="AH241" s="1294">
        <f t="shared" si="214"/>
        <v>-10000</v>
      </c>
      <c r="AI241" s="1294">
        <f t="shared" si="258"/>
        <v>0</v>
      </c>
      <c r="AJ241" s="1293">
        <f t="shared" si="217"/>
        <v>0</v>
      </c>
      <c r="AK241" s="1294"/>
      <c r="AL241" s="1294"/>
      <c r="AM241" s="1294"/>
      <c r="AN241" s="1294"/>
      <c r="AO241" s="1294"/>
      <c r="AP241" s="1294"/>
      <c r="AQ241" s="1294"/>
      <c r="AR241" s="1294">
        <f t="shared" si="224"/>
        <v>0</v>
      </c>
      <c r="AS241" s="1136"/>
      <c r="AT241" s="668">
        <f t="shared" si="225"/>
        <v>0</v>
      </c>
      <c r="AU241" s="463"/>
      <c r="AV241" s="468">
        <f t="shared" si="227"/>
        <v>0</v>
      </c>
      <c r="AW241" s="468">
        <f t="shared" si="226"/>
        <v>20000</v>
      </c>
      <c r="AX241" s="463"/>
      <c r="AY241" s="463"/>
      <c r="AZ241" s="463"/>
      <c r="BA241" s="463"/>
      <c r="BB241" s="463"/>
      <c r="BC241" s="437">
        <f t="shared" si="254"/>
        <v>0</v>
      </c>
      <c r="BD241" s="437"/>
      <c r="BE241">
        <f t="shared" si="230"/>
        <v>100</v>
      </c>
      <c r="BF241" s="437">
        <f t="shared" si="231"/>
        <v>33.333333333333343</v>
      </c>
    </row>
    <row r="242" spans="1:60" ht="39" customHeight="1">
      <c r="A242" s="1572"/>
      <c r="B242" s="1573"/>
      <c r="C242" s="1573"/>
      <c r="D242" s="1378" t="s">
        <v>319</v>
      </c>
      <c r="E242" s="1378"/>
      <c r="F242" s="1796">
        <v>613990</v>
      </c>
      <c r="G242" s="1838" t="s">
        <v>318</v>
      </c>
      <c r="H242" s="1575">
        <v>3000</v>
      </c>
      <c r="I242" s="1608"/>
      <c r="J242" s="1608"/>
      <c r="K242" s="1374">
        <f t="shared" si="253"/>
        <v>3000</v>
      </c>
      <c r="L242" s="1577">
        <v>3000</v>
      </c>
      <c r="M242" s="1331"/>
      <c r="N242" s="1332"/>
      <c r="O242" s="1375">
        <f t="shared" si="255"/>
        <v>3000</v>
      </c>
      <c r="P242" s="1577">
        <v>3000</v>
      </c>
      <c r="Q242" s="1331"/>
      <c r="R242" s="1332"/>
      <c r="S242" s="1375">
        <f t="shared" si="256"/>
        <v>3000</v>
      </c>
      <c r="T242" s="1577">
        <v>3000</v>
      </c>
      <c r="U242" s="1331"/>
      <c r="V242" s="1332"/>
      <c r="W242" s="1375">
        <f t="shared" si="257"/>
        <v>3000</v>
      </c>
      <c r="X242" s="1578">
        <f t="shared" si="215"/>
        <v>100</v>
      </c>
      <c r="Y242" s="2457"/>
      <c r="Z242" s="1136"/>
      <c r="AA242" s="1136"/>
      <c r="AB242" s="1293">
        <f t="shared" si="211"/>
        <v>0</v>
      </c>
      <c r="AC242" s="1293">
        <f t="shared" si="213"/>
        <v>0</v>
      </c>
      <c r="AD242" s="1293">
        <f t="shared" si="252"/>
        <v>0</v>
      </c>
      <c r="AE242" s="1293">
        <f t="shared" si="212"/>
        <v>0</v>
      </c>
      <c r="AF242" s="1294"/>
      <c r="AG242" s="1294"/>
      <c r="AH242" s="1294">
        <f t="shared" si="214"/>
        <v>0</v>
      </c>
      <c r="AI242" s="1294">
        <f t="shared" si="258"/>
        <v>0</v>
      </c>
      <c r="AJ242" s="1293">
        <f t="shared" si="217"/>
        <v>0</v>
      </c>
      <c r="AK242" s="1294"/>
      <c r="AL242" s="1294"/>
      <c r="AM242" s="1294"/>
      <c r="AN242" s="1294"/>
      <c r="AO242" s="1294"/>
      <c r="AP242" s="1294"/>
      <c r="AQ242" s="1294"/>
      <c r="AR242" s="1294">
        <f t="shared" ref="AR242:AR274" si="259">T242+U242+V242-W242</f>
        <v>0</v>
      </c>
      <c r="AS242" s="1136"/>
      <c r="AT242" s="668">
        <f t="shared" ref="AT242:AT274" si="260">T242+U242+V242-W242</f>
        <v>0</v>
      </c>
      <c r="AU242" s="463"/>
      <c r="AV242" s="468">
        <f t="shared" si="227"/>
        <v>0</v>
      </c>
      <c r="AW242" s="468">
        <f t="shared" ref="AW242:AW273" si="261">W242-AV242</f>
        <v>3000</v>
      </c>
      <c r="AX242" s="463"/>
      <c r="AY242" s="463"/>
      <c r="AZ242" s="463"/>
      <c r="BA242" s="463"/>
      <c r="BB242" s="463"/>
      <c r="BC242" s="437">
        <f t="shared" si="254"/>
        <v>0</v>
      </c>
      <c r="BD242" s="437"/>
      <c r="BE242" t="e">
        <f t="shared" si="230"/>
        <v>#DIV/0!</v>
      </c>
      <c r="BF242" s="437" t="e">
        <f t="shared" si="231"/>
        <v>#DIV/0!</v>
      </c>
    </row>
    <row r="243" spans="1:60" ht="39" customHeight="1">
      <c r="A243" s="1572"/>
      <c r="B243" s="1573"/>
      <c r="C243" s="1573"/>
      <c r="D243" s="1378" t="s">
        <v>319</v>
      </c>
      <c r="E243" s="1574"/>
      <c r="F243" s="1796">
        <v>613990</v>
      </c>
      <c r="G243" s="1838" t="s">
        <v>700</v>
      </c>
      <c r="H243" s="1575">
        <v>5000</v>
      </c>
      <c r="I243" s="1608"/>
      <c r="J243" s="1608"/>
      <c r="K243" s="1374">
        <f t="shared" si="253"/>
        <v>5000</v>
      </c>
      <c r="L243" s="1577"/>
      <c r="M243" s="1331"/>
      <c r="N243" s="1332"/>
      <c r="O243" s="1375">
        <f t="shared" si="255"/>
        <v>0</v>
      </c>
      <c r="P243" s="1577">
        <v>20000</v>
      </c>
      <c r="Q243" s="1331"/>
      <c r="R243" s="1332"/>
      <c r="S243" s="1375">
        <f t="shared" si="256"/>
        <v>20000</v>
      </c>
      <c r="T243" s="1577">
        <v>20000</v>
      </c>
      <c r="U243" s="1331"/>
      <c r="V243" s="1332"/>
      <c r="W243" s="1375">
        <f t="shared" si="257"/>
        <v>20000</v>
      </c>
      <c r="X243" s="1578"/>
      <c r="Y243" s="2457"/>
      <c r="Z243" s="1136"/>
      <c r="AA243" s="1136"/>
      <c r="AB243" s="1293">
        <f t="shared" si="211"/>
        <v>0</v>
      </c>
      <c r="AC243" s="1293">
        <f t="shared" si="213"/>
        <v>0</v>
      </c>
      <c r="AD243" s="1293">
        <f t="shared" si="252"/>
        <v>20000</v>
      </c>
      <c r="AE243" s="1293">
        <f t="shared" si="212"/>
        <v>0</v>
      </c>
      <c r="AF243" s="1294"/>
      <c r="AG243" s="1294"/>
      <c r="AH243" s="1294">
        <f t="shared" si="214"/>
        <v>20000</v>
      </c>
      <c r="AI243" s="1294">
        <f t="shared" si="258"/>
        <v>0</v>
      </c>
      <c r="AJ243" s="1293">
        <f t="shared" si="217"/>
        <v>0</v>
      </c>
      <c r="AK243" s="1294"/>
      <c r="AL243" s="1294"/>
      <c r="AM243" s="1294"/>
      <c r="AN243" s="1294"/>
      <c r="AO243" s="1294"/>
      <c r="AP243" s="1294"/>
      <c r="AQ243" s="1294"/>
      <c r="AR243" s="1294">
        <f t="shared" si="259"/>
        <v>0</v>
      </c>
      <c r="AS243" s="1136"/>
      <c r="AT243" s="668">
        <f t="shared" si="260"/>
        <v>0</v>
      </c>
      <c r="AU243" s="463"/>
      <c r="AV243" s="468">
        <f t="shared" si="227"/>
        <v>0</v>
      </c>
      <c r="AW243" s="468">
        <f t="shared" si="261"/>
        <v>20000</v>
      </c>
      <c r="AX243" s="463"/>
      <c r="AY243" s="463"/>
      <c r="AZ243" s="463"/>
      <c r="BA243" s="463"/>
      <c r="BB243" s="463"/>
      <c r="BC243" s="437">
        <f t="shared" si="254"/>
        <v>0</v>
      </c>
      <c r="BD243" s="437"/>
      <c r="BE243">
        <f t="shared" si="230"/>
        <v>76.923076923076934</v>
      </c>
      <c r="BF243" s="437">
        <f t="shared" si="231"/>
        <v>76.923076923076934</v>
      </c>
    </row>
    <row r="244" spans="1:60" ht="39" customHeight="1">
      <c r="A244" s="1376"/>
      <c r="B244" s="1377"/>
      <c r="C244" s="1377"/>
      <c r="D244" s="1378" t="s">
        <v>319</v>
      </c>
      <c r="E244" s="1378"/>
      <c r="F244" s="1795" t="s">
        <v>186</v>
      </c>
      <c r="G244" s="1836" t="s">
        <v>701</v>
      </c>
      <c r="H244" s="1380"/>
      <c r="I244" s="1633"/>
      <c r="J244" s="1633"/>
      <c r="K244" s="1381"/>
      <c r="L244" s="1601">
        <v>130000</v>
      </c>
      <c r="M244" s="1319"/>
      <c r="N244" s="1320"/>
      <c r="O244" s="1336">
        <f>SUM(L244:N244)</f>
        <v>130000</v>
      </c>
      <c r="P244" s="1601">
        <v>100000</v>
      </c>
      <c r="Q244" s="1319"/>
      <c r="R244" s="1320"/>
      <c r="S244" s="1336">
        <f t="shared" ref="S244:S245" si="262">SUM(P244)</f>
        <v>100000</v>
      </c>
      <c r="T244" s="1601">
        <v>100000</v>
      </c>
      <c r="U244" s="1319"/>
      <c r="V244" s="1320"/>
      <c r="W244" s="1579">
        <v>100000</v>
      </c>
      <c r="X244" s="1578">
        <f t="shared" si="215"/>
        <v>76.923076923076934</v>
      </c>
      <c r="Y244" s="2457"/>
      <c r="Z244" s="1136"/>
      <c r="AA244" s="1136"/>
      <c r="AB244" s="1293">
        <f t="shared" si="211"/>
        <v>0</v>
      </c>
      <c r="AC244" s="1293">
        <f t="shared" si="213"/>
        <v>0</v>
      </c>
      <c r="AD244" s="1293">
        <f t="shared" si="252"/>
        <v>-30000</v>
      </c>
      <c r="AE244" s="1293">
        <f t="shared" si="212"/>
        <v>0</v>
      </c>
      <c r="AF244" s="1294"/>
      <c r="AG244" s="1294"/>
      <c r="AH244" s="1294">
        <f t="shared" si="214"/>
        <v>-30000</v>
      </c>
      <c r="AI244" s="1294">
        <f t="shared" si="258"/>
        <v>0</v>
      </c>
      <c r="AJ244" s="1293">
        <f t="shared" si="217"/>
        <v>0</v>
      </c>
      <c r="AK244" s="1294"/>
      <c r="AL244" s="1294"/>
      <c r="AM244" s="1294"/>
      <c r="AN244" s="1294"/>
      <c r="AO244" s="1294"/>
      <c r="AP244" s="1294"/>
      <c r="AQ244" s="1294"/>
      <c r="AR244" s="1294">
        <f t="shared" si="259"/>
        <v>0</v>
      </c>
      <c r="AS244" s="1136"/>
      <c r="AT244" s="668">
        <f t="shared" si="260"/>
        <v>0</v>
      </c>
      <c r="AU244" s="463"/>
      <c r="AV244" s="468">
        <f t="shared" si="227"/>
        <v>0</v>
      </c>
      <c r="AW244" s="468">
        <f t="shared" si="261"/>
        <v>100000</v>
      </c>
      <c r="AX244" s="463"/>
      <c r="AY244" s="463"/>
      <c r="AZ244" s="463"/>
      <c r="BA244" s="463"/>
      <c r="BB244" s="463"/>
      <c r="BC244" s="437">
        <f t="shared" si="254"/>
        <v>0</v>
      </c>
      <c r="BD244" s="437"/>
      <c r="BE244">
        <f t="shared" si="230"/>
        <v>100</v>
      </c>
      <c r="BF244" s="437">
        <f t="shared" si="231"/>
        <v>23.076923076923066</v>
      </c>
    </row>
    <row r="245" spans="1:60" ht="39" customHeight="1">
      <c r="A245" s="1376"/>
      <c r="B245" s="1377"/>
      <c r="C245" s="1377"/>
      <c r="D245" s="1378">
        <v>111</v>
      </c>
      <c r="E245" s="1378" t="s">
        <v>320</v>
      </c>
      <c r="F245" s="1813">
        <v>616000</v>
      </c>
      <c r="G245" s="1856" t="s">
        <v>702</v>
      </c>
      <c r="H245" s="1633">
        <v>310000</v>
      </c>
      <c r="I245" s="1633"/>
      <c r="J245" s="1633"/>
      <c r="K245" s="1381">
        <f t="shared" si="253"/>
        <v>310000</v>
      </c>
      <c r="L245" s="1632">
        <v>300000</v>
      </c>
      <c r="M245" s="1319"/>
      <c r="N245" s="1320"/>
      <c r="O245" s="1336">
        <f>SUM(L245:N245)</f>
        <v>300000</v>
      </c>
      <c r="P245" s="1632">
        <v>350000</v>
      </c>
      <c r="Q245" s="1319"/>
      <c r="R245" s="1320"/>
      <c r="S245" s="1336">
        <f t="shared" si="262"/>
        <v>350000</v>
      </c>
      <c r="T245" s="1632">
        <v>300000</v>
      </c>
      <c r="U245" s="1319"/>
      <c r="V245" s="1320"/>
      <c r="W245" s="1434">
        <f t="shared" si="257"/>
        <v>300000</v>
      </c>
      <c r="X245" s="1578">
        <f t="shared" si="215"/>
        <v>100</v>
      </c>
      <c r="Y245" s="2457"/>
      <c r="Z245" s="1136"/>
      <c r="AA245" s="1136"/>
      <c r="AB245" s="1293">
        <f t="shared" si="211"/>
        <v>0</v>
      </c>
      <c r="AC245" s="1293">
        <f t="shared" si="213"/>
        <v>0</v>
      </c>
      <c r="AD245" s="1293">
        <f t="shared" si="252"/>
        <v>0</v>
      </c>
      <c r="AE245" s="1293">
        <f t="shared" si="212"/>
        <v>0</v>
      </c>
      <c r="AF245" s="1294"/>
      <c r="AG245" s="1294"/>
      <c r="AH245" s="1294">
        <f t="shared" si="214"/>
        <v>0</v>
      </c>
      <c r="AI245" s="1294">
        <f t="shared" si="258"/>
        <v>0</v>
      </c>
      <c r="AJ245" s="1293">
        <f t="shared" si="217"/>
        <v>0</v>
      </c>
      <c r="AK245" s="1294"/>
      <c r="AL245" s="1294"/>
      <c r="AM245" s="1294"/>
      <c r="AN245" s="1294"/>
      <c r="AO245" s="1294"/>
      <c r="AP245" s="1294"/>
      <c r="AQ245" s="1294"/>
      <c r="AR245" s="1294">
        <f t="shared" si="259"/>
        <v>0</v>
      </c>
      <c r="AS245" s="1136"/>
      <c r="AT245" s="668">
        <f t="shared" si="260"/>
        <v>0</v>
      </c>
      <c r="AU245" s="978" t="s">
        <v>1557</v>
      </c>
      <c r="AV245" s="468">
        <f t="shared" si="227"/>
        <v>0</v>
      </c>
      <c r="AW245" s="468">
        <f t="shared" si="261"/>
        <v>300000</v>
      </c>
      <c r="AX245" s="463"/>
      <c r="AY245" s="463"/>
      <c r="AZ245" s="463"/>
      <c r="BA245" s="463"/>
      <c r="BB245" s="463"/>
      <c r="BC245" s="437">
        <f t="shared" si="254"/>
        <v>0</v>
      </c>
      <c r="BD245" s="437"/>
      <c r="BE245">
        <f t="shared" ref="BE245:BE273" si="263">W246/O246*100</f>
        <v>0</v>
      </c>
      <c r="BF245" s="437">
        <f t="shared" ref="BF245:BF273" si="264">BE245-X245</f>
        <v>-100</v>
      </c>
    </row>
    <row r="246" spans="1:60" ht="39" customHeight="1">
      <c r="A246" s="1376"/>
      <c r="B246" s="1377"/>
      <c r="C246" s="1377"/>
      <c r="D246" s="1378" t="s">
        <v>241</v>
      </c>
      <c r="E246" s="1378"/>
      <c r="F246" s="1795" t="s">
        <v>264</v>
      </c>
      <c r="G246" s="1836" t="s">
        <v>468</v>
      </c>
      <c r="H246" s="1633"/>
      <c r="I246" s="1633"/>
      <c r="J246" s="1633"/>
      <c r="K246" s="1381"/>
      <c r="L246" s="1632"/>
      <c r="M246" s="1319">
        <v>418277</v>
      </c>
      <c r="N246" s="1320"/>
      <c r="O246" s="1336">
        <f>SUM(L246:N246)</f>
        <v>418277</v>
      </c>
      <c r="P246" s="1601"/>
      <c r="Q246" s="1303"/>
      <c r="R246" s="1304"/>
      <c r="S246" s="1336"/>
      <c r="T246" s="1632"/>
      <c r="U246" s="1319"/>
      <c r="V246" s="1320"/>
      <c r="W246" s="1336">
        <f>SUM(T246:V246)</f>
        <v>0</v>
      </c>
      <c r="X246" s="1578">
        <f t="shared" si="215"/>
        <v>0</v>
      </c>
      <c r="Y246" s="2457"/>
      <c r="Z246" s="1136"/>
      <c r="AA246" s="1136"/>
      <c r="AB246" s="1293">
        <f t="shared" si="211"/>
        <v>0</v>
      </c>
      <c r="AC246" s="1293">
        <f t="shared" si="213"/>
        <v>0</v>
      </c>
      <c r="AD246" s="1293">
        <f t="shared" si="252"/>
        <v>-418277</v>
      </c>
      <c r="AE246" s="1293">
        <f t="shared" si="212"/>
        <v>0</v>
      </c>
      <c r="AF246" s="1294"/>
      <c r="AG246" s="1294"/>
      <c r="AH246" s="1294">
        <f t="shared" si="214"/>
        <v>0</v>
      </c>
      <c r="AI246" s="1294">
        <f t="shared" si="258"/>
        <v>0</v>
      </c>
      <c r="AJ246" s="1293">
        <f t="shared" si="217"/>
        <v>0</v>
      </c>
      <c r="AK246" s="1294"/>
      <c r="AL246" s="1294"/>
      <c r="AM246" s="1294"/>
      <c r="AN246" s="1294"/>
      <c r="AO246" s="1294"/>
      <c r="AP246" s="1294"/>
      <c r="AQ246" s="1294"/>
      <c r="AR246" s="1294">
        <f t="shared" si="259"/>
        <v>0</v>
      </c>
      <c r="AS246" s="1136"/>
      <c r="AT246" s="668">
        <f t="shared" si="260"/>
        <v>0</v>
      </c>
      <c r="AU246" s="463"/>
      <c r="AV246" s="468">
        <f t="shared" si="227"/>
        <v>0</v>
      </c>
      <c r="AW246" s="468">
        <f t="shared" si="261"/>
        <v>0</v>
      </c>
      <c r="AX246" s="463"/>
      <c r="AY246" s="463"/>
      <c r="AZ246" s="463"/>
      <c r="BA246" s="463"/>
      <c r="BB246" s="463"/>
      <c r="BC246" s="437">
        <f t="shared" si="254"/>
        <v>0</v>
      </c>
      <c r="BD246" s="437"/>
      <c r="BE246">
        <f t="shared" si="263"/>
        <v>0</v>
      </c>
      <c r="BF246" s="437">
        <f t="shared" si="264"/>
        <v>0</v>
      </c>
    </row>
    <row r="247" spans="1:60" ht="39" customHeight="1">
      <c r="A247" s="1376"/>
      <c r="B247" s="1377"/>
      <c r="C247" s="1377"/>
      <c r="D247" s="1378" t="s">
        <v>478</v>
      </c>
      <c r="E247" s="1378" t="s">
        <v>206</v>
      </c>
      <c r="F247" s="1795" t="s">
        <v>264</v>
      </c>
      <c r="G247" s="1836" t="s">
        <v>468</v>
      </c>
      <c r="H247" s="1633"/>
      <c r="I247" s="1633">
        <v>98216</v>
      </c>
      <c r="J247" s="1633"/>
      <c r="K247" s="1381">
        <f t="shared" si="253"/>
        <v>98216</v>
      </c>
      <c r="L247" s="1632"/>
      <c r="M247" s="1319">
        <v>204247</v>
      </c>
      <c r="N247" s="1320"/>
      <c r="O247" s="1336">
        <f>SUM(L247:N247)</f>
        <v>204247</v>
      </c>
      <c r="P247" s="1601"/>
      <c r="Q247" s="1303"/>
      <c r="R247" s="1304"/>
      <c r="S247" s="1336"/>
      <c r="T247" s="1632"/>
      <c r="U247" s="1319"/>
      <c r="V247" s="1320"/>
      <c r="W247" s="1336">
        <f>SUM(T247:V247)</f>
        <v>0</v>
      </c>
      <c r="X247" s="1578">
        <f t="shared" si="215"/>
        <v>0</v>
      </c>
      <c r="Y247" s="2457"/>
      <c r="Z247" s="1136"/>
      <c r="AA247" s="1136"/>
      <c r="AB247" s="1293">
        <f t="shared" si="211"/>
        <v>0</v>
      </c>
      <c r="AC247" s="1293">
        <f t="shared" si="213"/>
        <v>0</v>
      </c>
      <c r="AD247" s="1293">
        <f t="shared" si="252"/>
        <v>-204247</v>
      </c>
      <c r="AE247" s="1293">
        <f t="shared" si="212"/>
        <v>0</v>
      </c>
      <c r="AF247" s="1294"/>
      <c r="AG247" s="1294"/>
      <c r="AH247" s="1294">
        <f t="shared" si="214"/>
        <v>0</v>
      </c>
      <c r="AI247" s="1294">
        <f t="shared" si="258"/>
        <v>0</v>
      </c>
      <c r="AJ247" s="1293">
        <f t="shared" si="217"/>
        <v>0</v>
      </c>
      <c r="AK247" s="1294"/>
      <c r="AL247" s="1294"/>
      <c r="AM247" s="1294"/>
      <c r="AN247" s="1294"/>
      <c r="AO247" s="1294"/>
      <c r="AP247" s="1294"/>
      <c r="AQ247" s="1294"/>
      <c r="AR247" s="1294">
        <f t="shared" si="259"/>
        <v>0</v>
      </c>
      <c r="AS247" s="1136"/>
      <c r="AT247" s="668">
        <f t="shared" si="260"/>
        <v>0</v>
      </c>
      <c r="AU247" s="463"/>
      <c r="AV247" s="468">
        <f t="shared" si="227"/>
        <v>0</v>
      </c>
      <c r="AW247" s="468">
        <f t="shared" si="261"/>
        <v>0</v>
      </c>
      <c r="AX247" s="463"/>
      <c r="AY247" s="463"/>
      <c r="AZ247" s="463"/>
      <c r="BA247" s="463"/>
      <c r="BB247" s="463"/>
      <c r="BC247" s="437">
        <f t="shared" si="254"/>
        <v>0</v>
      </c>
      <c r="BD247" s="437"/>
      <c r="BE247">
        <f t="shared" si="263"/>
        <v>105.26315789473684</v>
      </c>
      <c r="BF247" s="437">
        <f t="shared" si="264"/>
        <v>105.26315789473684</v>
      </c>
    </row>
    <row r="248" spans="1:60" ht="39" customHeight="1">
      <c r="A248" s="1376"/>
      <c r="B248" s="1377"/>
      <c r="C248" s="1377"/>
      <c r="D248" s="1378" t="s">
        <v>321</v>
      </c>
      <c r="E248" s="1378" t="s">
        <v>242</v>
      </c>
      <c r="F248" s="1814">
        <v>823000</v>
      </c>
      <c r="G248" s="1857" t="s">
        <v>323</v>
      </c>
      <c r="H248" s="1633"/>
      <c r="I248" s="1633">
        <v>1100000</v>
      </c>
      <c r="J248" s="1633"/>
      <c r="K248" s="1381">
        <f t="shared" si="253"/>
        <v>1100000</v>
      </c>
      <c r="L248" s="1632"/>
      <c r="M248" s="1319">
        <v>1900000</v>
      </c>
      <c r="N248" s="1320"/>
      <c r="O248" s="1336">
        <f>SUM(L248:N248)</f>
        <v>1900000</v>
      </c>
      <c r="P248" s="1601"/>
      <c r="Q248" s="1303">
        <v>2100000</v>
      </c>
      <c r="R248" s="1304"/>
      <c r="S248" s="1336"/>
      <c r="T248" s="1632"/>
      <c r="U248" s="1319">
        <v>2000000</v>
      </c>
      <c r="V248" s="1320"/>
      <c r="W248" s="1336">
        <f>SUM(T248:V248)</f>
        <v>2000000</v>
      </c>
      <c r="X248" s="1578">
        <f t="shared" si="215"/>
        <v>105.26315789473684</v>
      </c>
      <c r="Y248" s="2457"/>
      <c r="Z248" s="1136"/>
      <c r="AA248" s="1136"/>
      <c r="AB248" s="1293">
        <f t="shared" si="211"/>
        <v>0</v>
      </c>
      <c r="AC248" s="1293">
        <f t="shared" si="213"/>
        <v>0</v>
      </c>
      <c r="AD248" s="1293">
        <f t="shared" si="252"/>
        <v>100000</v>
      </c>
      <c r="AE248" s="1293">
        <f t="shared" si="212"/>
        <v>0</v>
      </c>
      <c r="AF248" s="1294"/>
      <c r="AG248" s="1294"/>
      <c r="AH248" s="1294">
        <f t="shared" si="214"/>
        <v>0</v>
      </c>
      <c r="AI248" s="1294">
        <f t="shared" si="258"/>
        <v>0</v>
      </c>
      <c r="AJ248" s="1293">
        <f t="shared" si="217"/>
        <v>0</v>
      </c>
      <c r="AK248" s="1294"/>
      <c r="AL248" s="1294"/>
      <c r="AM248" s="1294"/>
      <c r="AN248" s="1294"/>
      <c r="AO248" s="1294"/>
      <c r="AP248" s="1294"/>
      <c r="AQ248" s="1294"/>
      <c r="AR248" s="1294">
        <f t="shared" si="259"/>
        <v>0</v>
      </c>
      <c r="AS248" s="1136"/>
      <c r="AT248" s="668">
        <f t="shared" si="260"/>
        <v>0</v>
      </c>
      <c r="AU248" s="978" t="s">
        <v>1557</v>
      </c>
      <c r="AV248" s="468">
        <f t="shared" si="227"/>
        <v>0</v>
      </c>
      <c r="AW248" s="468">
        <f t="shared" si="261"/>
        <v>2000000</v>
      </c>
      <c r="AX248" s="463"/>
      <c r="AY248" s="463"/>
      <c r="AZ248" s="463"/>
      <c r="BA248" s="463"/>
      <c r="BB248" s="463"/>
      <c r="BC248" s="437">
        <f t="shared" si="254"/>
        <v>0</v>
      </c>
      <c r="BD248" s="437"/>
      <c r="BE248">
        <f t="shared" si="263"/>
        <v>87.84287623265871</v>
      </c>
      <c r="BF248" s="437">
        <f t="shared" si="264"/>
        <v>-17.420281662078125</v>
      </c>
    </row>
    <row r="249" spans="1:60" ht="60" customHeight="1">
      <c r="A249" s="1594" t="s">
        <v>324</v>
      </c>
      <c r="B249" s="1595" t="s">
        <v>204</v>
      </c>
      <c r="C249" s="1595" t="s">
        <v>205</v>
      </c>
      <c r="D249" s="1596">
        <v>111</v>
      </c>
      <c r="E249" s="1596" t="s">
        <v>206</v>
      </c>
      <c r="F249" s="1804"/>
      <c r="G249" s="1858" t="s">
        <v>325</v>
      </c>
      <c r="H249" s="1619" t="e">
        <f>SUM(H251,H276,H281,H287,H300,#REF!)</f>
        <v>#REF!</v>
      </c>
      <c r="I249" s="1619" t="e">
        <f>SUM(I251,I276,I281,I287,I300)</f>
        <v>#REF!</v>
      </c>
      <c r="J249" s="1619" t="e">
        <f>SUM(J251,J276,J281,J287,J300)</f>
        <v>#REF!</v>
      </c>
      <c r="K249" s="1585" t="e">
        <f>SUM(K251,K276,K281,#REF!,#REF!,#REF!)</f>
        <v>#REF!</v>
      </c>
      <c r="L249" s="1620">
        <f>L251+L276+L280+L287+L300</f>
        <v>15628625</v>
      </c>
      <c r="M249" s="1313">
        <f>M251+M276+M280+M287+M300</f>
        <v>76499</v>
      </c>
      <c r="N249" s="1314">
        <f>SUM(N251,N276,N280,N287)</f>
        <v>854204</v>
      </c>
      <c r="O249" s="1335">
        <f>O251+O276+O280+O287+O300</f>
        <v>16559328</v>
      </c>
      <c r="P249" s="1620">
        <f>SUM(P251+P279+P280+P284+P291+P304)</f>
        <v>9368600</v>
      </c>
      <c r="Q249" s="1313">
        <f>SUM(Q291)</f>
        <v>0</v>
      </c>
      <c r="R249" s="1314">
        <f>SUM(R280+R284+R291+R304)</f>
        <v>0</v>
      </c>
      <c r="S249" s="1335">
        <f>SUM(P249+Q249+R249)</f>
        <v>9368600</v>
      </c>
      <c r="T249" s="1620">
        <f>SUM(T251,T276,T280,T287,T300)</f>
        <v>14335190</v>
      </c>
      <c r="U249" s="1313">
        <f t="shared" ref="U249:V249" si="265">SUM(U251,U276,U280,U287,U300)</f>
        <v>11000</v>
      </c>
      <c r="V249" s="1314">
        <f t="shared" si="265"/>
        <v>200000</v>
      </c>
      <c r="W249" s="1315">
        <f>SUM(W276,W280,W287,W300,W251)</f>
        <v>14546190</v>
      </c>
      <c r="X249" s="1598">
        <f t="shared" si="215"/>
        <v>87.84287623265871</v>
      </c>
      <c r="Y249" s="758">
        <f>'[1]PRIH REBALANS'!$AK$586</f>
        <v>14546190</v>
      </c>
      <c r="Z249" s="1135">
        <f>SUM(W251,W276,W280,W287,W300)</f>
        <v>14546190</v>
      </c>
      <c r="AA249" s="1135">
        <f>'[9]PRIH REBALANS'!$AK$586</f>
        <v>14546190</v>
      </c>
      <c r="AB249" s="1293">
        <f t="shared" si="211"/>
        <v>0</v>
      </c>
      <c r="AC249" s="1293">
        <f t="shared" si="213"/>
        <v>0</v>
      </c>
      <c r="AD249" s="1293">
        <f>'[1]PRIH REBALANS'!$AG$586</f>
        <v>14335190</v>
      </c>
      <c r="AE249" s="1293">
        <f t="shared" si="212"/>
        <v>0</v>
      </c>
      <c r="AF249" s="1293"/>
      <c r="AG249" s="1293"/>
      <c r="AH249" s="1294">
        <f t="shared" si="214"/>
        <v>-1293435</v>
      </c>
      <c r="AI249" s="1294">
        <f t="shared" si="258"/>
        <v>0</v>
      </c>
      <c r="AJ249" s="1293">
        <f t="shared" si="217"/>
        <v>0</v>
      </c>
      <c r="AK249" s="1294">
        <f t="shared" ref="AK249:AK280" si="266">T249+U249+V249-W249</f>
        <v>0</v>
      </c>
      <c r="AL249" s="1294"/>
      <c r="AM249" s="1294"/>
      <c r="AN249" s="1294"/>
      <c r="AO249" s="1294"/>
      <c r="AP249" s="1294"/>
      <c r="AQ249" s="1294"/>
      <c r="AR249" s="1294">
        <f t="shared" si="259"/>
        <v>0</v>
      </c>
      <c r="AS249" s="1135" t="e">
        <f>SUM(AS253,AS256,AS260,AS262,AS276,AS280,AS287,AS300)</f>
        <v>#REF!</v>
      </c>
      <c r="AT249" s="668">
        <f t="shared" si="260"/>
        <v>0</v>
      </c>
      <c r="AU249" s="668">
        <f>SUM(AU253,AU256,AU260,AU262,AU276,AU280,AU287,AU300)</f>
        <v>17384690</v>
      </c>
      <c r="AV249" s="468" t="s">
        <v>1518</v>
      </c>
      <c r="AW249" s="468" t="e">
        <f t="shared" si="261"/>
        <v>#VALUE!</v>
      </c>
      <c r="AX249" s="668"/>
      <c r="AY249" s="668"/>
      <c r="AZ249" s="668"/>
      <c r="BA249" s="668"/>
      <c r="BB249" s="668"/>
      <c r="BC249" s="437">
        <f>'[2]PRIH REBALANS'!$AK$605</f>
        <v>16549326.050000001</v>
      </c>
      <c r="BD249" s="437"/>
      <c r="BE249" t="e">
        <f t="shared" si="263"/>
        <v>#DIV/0!</v>
      </c>
      <c r="BF249" s="437" t="e">
        <f t="shared" si="264"/>
        <v>#DIV/0!</v>
      </c>
      <c r="BG249" s="471" t="e">
        <f>SUM(BG253:BG262,BG276,BG280,BG287,BG300)</f>
        <v>#REF!</v>
      </c>
      <c r="BH249" s="209" t="e">
        <f>BG249-W249</f>
        <v>#REF!</v>
      </c>
    </row>
    <row r="250" spans="1:60" ht="39" customHeight="1">
      <c r="A250" s="1594"/>
      <c r="B250" s="1595"/>
      <c r="C250" s="1595"/>
      <c r="D250" s="1596"/>
      <c r="E250" s="1596"/>
      <c r="F250" s="1804"/>
      <c r="G250" s="1859" t="s">
        <v>268</v>
      </c>
      <c r="H250" s="1619">
        <v>54</v>
      </c>
      <c r="I250" s="1619"/>
      <c r="J250" s="1619"/>
      <c r="K250" s="1585"/>
      <c r="L250" s="1620"/>
      <c r="M250" s="1313"/>
      <c r="N250" s="1314"/>
      <c r="O250" s="1335"/>
      <c r="P250" s="1620"/>
      <c r="Q250" s="1313"/>
      <c r="R250" s="1314"/>
      <c r="S250" s="1335"/>
      <c r="T250" s="1620"/>
      <c r="U250" s="1313"/>
      <c r="V250" s="1314"/>
      <c r="W250" s="1315"/>
      <c r="X250" s="1598"/>
      <c r="Y250" s="758"/>
      <c r="Z250" s="1135"/>
      <c r="AA250" s="1135"/>
      <c r="AB250" s="1293">
        <f t="shared" si="211"/>
        <v>0</v>
      </c>
      <c r="AC250" s="1293">
        <f t="shared" si="213"/>
        <v>0</v>
      </c>
      <c r="AD250" s="1293">
        <f>W250-O250</f>
        <v>0</v>
      </c>
      <c r="AE250" s="1293">
        <f t="shared" si="212"/>
        <v>0</v>
      </c>
      <c r="AF250" s="1293"/>
      <c r="AG250" s="1293"/>
      <c r="AH250" s="1294">
        <f t="shared" si="214"/>
        <v>0</v>
      </c>
      <c r="AI250" s="1294">
        <f t="shared" si="258"/>
        <v>0</v>
      </c>
      <c r="AJ250" s="1293">
        <f t="shared" si="217"/>
        <v>0</v>
      </c>
      <c r="AK250" s="1294">
        <f t="shared" si="266"/>
        <v>0</v>
      </c>
      <c r="AL250" s="1294"/>
      <c r="AM250" s="1294"/>
      <c r="AN250" s="1294"/>
      <c r="AO250" s="1294"/>
      <c r="AP250" s="1294"/>
      <c r="AQ250" s="1294"/>
      <c r="AR250" s="1294">
        <f t="shared" si="259"/>
        <v>0</v>
      </c>
      <c r="AS250" s="1135"/>
      <c r="AT250" s="668">
        <f t="shared" si="260"/>
        <v>0</v>
      </c>
      <c r="AU250" s="668"/>
      <c r="AV250" s="468">
        <f t="shared" ref="AV250:AV274" si="267">T250+U250+V250-W250</f>
        <v>0</v>
      </c>
      <c r="AW250" s="468">
        <f t="shared" si="261"/>
        <v>0</v>
      </c>
      <c r="AX250" s="668"/>
      <c r="AY250" s="668"/>
      <c r="AZ250" s="668"/>
      <c r="BA250" s="668"/>
      <c r="BB250" s="668"/>
      <c r="BC250" s="437">
        <f>T250+U250+V250+-W250</f>
        <v>0</v>
      </c>
      <c r="BD250" s="437"/>
      <c r="BE250">
        <f t="shared" si="263"/>
        <v>100.65357398425698</v>
      </c>
      <c r="BF250" s="437">
        <f t="shared" si="264"/>
        <v>100.65357398425698</v>
      </c>
    </row>
    <row r="251" spans="1:60" ht="39" customHeight="1">
      <c r="A251" s="1376"/>
      <c r="B251" s="1377"/>
      <c r="C251" s="1377"/>
      <c r="D251" s="1373">
        <v>111</v>
      </c>
      <c r="E251" s="1373" t="s">
        <v>206</v>
      </c>
      <c r="F251" s="1795"/>
      <c r="G251" s="1835" t="s">
        <v>208</v>
      </c>
      <c r="H251" s="1380" t="e">
        <f>SUM(H252,H260,H262,#REF!)</f>
        <v>#REF!</v>
      </c>
      <c r="I251" s="1380" t="e">
        <f>SUM(I252,I260,I262,#REF!)</f>
        <v>#REF!</v>
      </c>
      <c r="J251" s="1380" t="e">
        <f>SUM(J252,J260,J262,#REF!)</f>
        <v>#REF!</v>
      </c>
      <c r="K251" s="1381" t="e">
        <f>SUM(K252,K262,#REF!,K260)</f>
        <v>#REF!</v>
      </c>
      <c r="L251" s="1601">
        <f>SUM(L252,L260,L262,)</f>
        <v>1572125</v>
      </c>
      <c r="M251" s="1303">
        <f>SUM(M252,M260,M262,)</f>
        <v>0</v>
      </c>
      <c r="N251" s="1304">
        <f>SUM(N252,N260,N262,)</f>
        <v>0</v>
      </c>
      <c r="O251" s="1336">
        <f>SUM(O252,O262,O260)</f>
        <v>1572125</v>
      </c>
      <c r="P251" s="1601">
        <f>SUM(P252+P260+P262,P275)</f>
        <v>344900</v>
      </c>
      <c r="Q251" s="1303"/>
      <c r="R251" s="1304"/>
      <c r="S251" s="1336">
        <f>SUM(S252+S260+S262,S275)</f>
        <v>344900</v>
      </c>
      <c r="T251" s="1601">
        <f>SUM(T252,T260,T262,)</f>
        <v>1582400</v>
      </c>
      <c r="U251" s="1303">
        <f>SUM(U252,U260,U262,)</f>
        <v>0</v>
      </c>
      <c r="V251" s="1304">
        <f>SUM(V252,V260,V262,)</f>
        <v>0</v>
      </c>
      <c r="W251" s="1336">
        <f>SUM(W252,W262,W260)</f>
        <v>1582400</v>
      </c>
      <c r="X251" s="1578">
        <f t="shared" si="215"/>
        <v>100.65357398425698</v>
      </c>
      <c r="Y251" s="2457">
        <f>'[1]PRIH REBALANS'!$AK$588</f>
        <v>1582400</v>
      </c>
      <c r="Z251" s="1136"/>
      <c r="AA251" s="1136">
        <f>'[1]PRIH REBALANS'!$AK$588</f>
        <v>1582400</v>
      </c>
      <c r="AB251" s="1293">
        <f t="shared" si="211"/>
        <v>0</v>
      </c>
      <c r="AC251" s="1293">
        <f t="shared" si="213"/>
        <v>0</v>
      </c>
      <c r="AD251" s="1293"/>
      <c r="AE251" s="1293">
        <f t="shared" si="212"/>
        <v>0</v>
      </c>
      <c r="AF251" s="1294"/>
      <c r="AG251" s="1294"/>
      <c r="AH251" s="1294">
        <f t="shared" si="214"/>
        <v>10275</v>
      </c>
      <c r="AI251" s="1294">
        <f t="shared" si="258"/>
        <v>0</v>
      </c>
      <c r="AJ251" s="1293">
        <f t="shared" si="217"/>
        <v>0</v>
      </c>
      <c r="AK251" s="1294">
        <f t="shared" si="266"/>
        <v>0</v>
      </c>
      <c r="AL251" s="1294"/>
      <c r="AM251" s="1294"/>
      <c r="AN251" s="1294"/>
      <c r="AO251" s="1294"/>
      <c r="AP251" s="1294"/>
      <c r="AQ251" s="1294"/>
      <c r="AR251" s="1294">
        <f t="shared" si="259"/>
        <v>0</v>
      </c>
      <c r="AS251" s="1136"/>
      <c r="AT251" s="668">
        <f t="shared" si="260"/>
        <v>0</v>
      </c>
      <c r="AU251" s="463"/>
      <c r="AV251" s="468">
        <f t="shared" si="267"/>
        <v>0</v>
      </c>
      <c r="AW251" s="468">
        <f t="shared" si="261"/>
        <v>1582400</v>
      </c>
      <c r="AX251" s="463"/>
      <c r="AY251" s="463"/>
      <c r="AZ251" s="463"/>
      <c r="BA251" s="463"/>
      <c r="BB251" s="463"/>
      <c r="BC251" s="437">
        <f>'[2]PRIH REBALANS'!$AK$607</f>
        <v>1572125</v>
      </c>
      <c r="BD251" s="437">
        <f t="shared" ref="BD251:BD274" si="268">BC251-W251</f>
        <v>-10275</v>
      </c>
      <c r="BE251">
        <f t="shared" si="263"/>
        <v>99.910500648413674</v>
      </c>
      <c r="BF251" s="437">
        <f t="shared" si="264"/>
        <v>-0.74307333584330593</v>
      </c>
    </row>
    <row r="252" spans="1:60" ht="39" customHeight="1">
      <c r="A252" s="1572"/>
      <c r="B252" s="1573"/>
      <c r="C252" s="1573"/>
      <c r="D252" s="1373">
        <v>111</v>
      </c>
      <c r="E252" s="1373" t="s">
        <v>206</v>
      </c>
      <c r="F252" s="1795">
        <v>611000</v>
      </c>
      <c r="G252" s="1836" t="s">
        <v>693</v>
      </c>
      <c r="H252" s="1380">
        <f t="shared" ref="H252:O252" si="269">SUM(H253,H256)</f>
        <v>1337100</v>
      </c>
      <c r="I252" s="1380">
        <f t="shared" si="269"/>
        <v>0</v>
      </c>
      <c r="J252" s="1380">
        <f t="shared" si="269"/>
        <v>0</v>
      </c>
      <c r="K252" s="1381">
        <f t="shared" si="269"/>
        <v>1337100</v>
      </c>
      <c r="L252" s="1601">
        <f t="shared" si="269"/>
        <v>1368725</v>
      </c>
      <c r="M252" s="1303">
        <f t="shared" si="269"/>
        <v>0</v>
      </c>
      <c r="N252" s="1304">
        <f t="shared" si="269"/>
        <v>0</v>
      </c>
      <c r="O252" s="1336">
        <f t="shared" si="269"/>
        <v>1368725</v>
      </c>
      <c r="P252" s="1601">
        <f>SUM(P253+P256)</f>
        <v>0</v>
      </c>
      <c r="Q252" s="1303"/>
      <c r="R252" s="1304"/>
      <c r="S252" s="1336">
        <f>SUM(S253+S256)</f>
        <v>0</v>
      </c>
      <c r="T252" s="1601">
        <f t="shared" ref="T252:W252" si="270">SUM(T253,T256)</f>
        <v>1367500</v>
      </c>
      <c r="U252" s="1303">
        <f t="shared" si="270"/>
        <v>0</v>
      </c>
      <c r="V252" s="1304">
        <f t="shared" si="270"/>
        <v>0</v>
      </c>
      <c r="W252" s="1336">
        <f t="shared" si="270"/>
        <v>1367500</v>
      </c>
      <c r="X252" s="1578">
        <f t="shared" si="215"/>
        <v>99.910500648413674</v>
      </c>
      <c r="Y252" s="2457">
        <f>'[1]PRIH REBALANS'!$AK$589</f>
        <v>1367500</v>
      </c>
      <c r="Z252" s="1136"/>
      <c r="AA252" s="1136"/>
      <c r="AB252" s="1293">
        <f t="shared" si="211"/>
        <v>0</v>
      </c>
      <c r="AC252" s="1293">
        <f t="shared" si="213"/>
        <v>0</v>
      </c>
      <c r="AD252" s="1293"/>
      <c r="AE252" s="1293">
        <f t="shared" si="212"/>
        <v>0</v>
      </c>
      <c r="AF252" s="1294"/>
      <c r="AG252" s="1294"/>
      <c r="AH252" s="1294">
        <f t="shared" si="214"/>
        <v>-1225</v>
      </c>
      <c r="AI252" s="1294">
        <f t="shared" si="258"/>
        <v>0</v>
      </c>
      <c r="AJ252" s="1293">
        <f t="shared" si="217"/>
        <v>0</v>
      </c>
      <c r="AK252" s="1294">
        <f t="shared" si="266"/>
        <v>0</v>
      </c>
      <c r="AL252" s="1294"/>
      <c r="AM252" s="1294"/>
      <c r="AN252" s="1294"/>
      <c r="AO252" s="1294"/>
      <c r="AP252" s="1294"/>
      <c r="AQ252" s="1294"/>
      <c r="AR252" s="1294">
        <f t="shared" si="259"/>
        <v>0</v>
      </c>
      <c r="AS252" s="1136"/>
      <c r="AT252" s="668">
        <f t="shared" si="260"/>
        <v>0</v>
      </c>
      <c r="AU252" s="463"/>
      <c r="AV252" s="468">
        <f t="shared" si="267"/>
        <v>0</v>
      </c>
      <c r="AW252" s="468">
        <f t="shared" si="261"/>
        <v>1367500</v>
      </c>
      <c r="AX252" s="463"/>
      <c r="AY252" s="463"/>
      <c r="AZ252" s="463"/>
      <c r="BA252" s="463"/>
      <c r="BB252" s="463"/>
      <c r="BC252" s="437">
        <f>'[2]PRIH REBALANS'!$AK$608</f>
        <v>1368725</v>
      </c>
      <c r="BD252" s="437">
        <f t="shared" si="268"/>
        <v>1225</v>
      </c>
      <c r="BE252">
        <f t="shared" si="263"/>
        <v>99.836065573770497</v>
      </c>
      <c r="BF252" s="437">
        <f t="shared" si="264"/>
        <v>-7.4435074643176335E-2</v>
      </c>
    </row>
    <row r="253" spans="1:60" ht="39" customHeight="1">
      <c r="A253" s="1572"/>
      <c r="B253" s="1573"/>
      <c r="C253" s="1573"/>
      <c r="D253" s="1373">
        <v>111</v>
      </c>
      <c r="E253" s="1373"/>
      <c r="F253" s="1795" t="s">
        <v>166</v>
      </c>
      <c r="G253" s="1836" t="s">
        <v>674</v>
      </c>
      <c r="H253" s="1380">
        <f>SUM(H254:H255)</f>
        <v>1208000</v>
      </c>
      <c r="I253" s="1380">
        <f>SUM(I254:I255)</f>
        <v>0</v>
      </c>
      <c r="J253" s="1380">
        <f>SUM(J254:J255)</f>
        <v>0</v>
      </c>
      <c r="K253" s="1381">
        <f>SUM(H253:J253)</f>
        <v>1208000</v>
      </c>
      <c r="L253" s="1601">
        <f>SUM(L254:L255)</f>
        <v>1220000</v>
      </c>
      <c r="M253" s="1303">
        <f>SUM(M254:M255)</f>
        <v>0</v>
      </c>
      <c r="N253" s="1304">
        <f>SUM(N254:N255)</f>
        <v>0</v>
      </c>
      <c r="O253" s="1336">
        <f>SUM(L253:N253)</f>
        <v>1220000</v>
      </c>
      <c r="P253" s="1601">
        <f>SUM(P254:P255)</f>
        <v>0</v>
      </c>
      <c r="Q253" s="1303"/>
      <c r="R253" s="1304"/>
      <c r="S253" s="1336">
        <f>SUM(S254:S255)</f>
        <v>0</v>
      </c>
      <c r="T253" s="1601">
        <f>SUM(T254:T255)</f>
        <v>1218000</v>
      </c>
      <c r="U253" s="1303">
        <f>SUM(U254:U255)</f>
        <v>0</v>
      </c>
      <c r="V253" s="1304">
        <f>SUM(V254:V255)</f>
        <v>0</v>
      </c>
      <c r="W253" s="1336">
        <f>SUM(T253:V253)</f>
        <v>1218000</v>
      </c>
      <c r="X253" s="1578">
        <f t="shared" si="215"/>
        <v>99.836065573770497</v>
      </c>
      <c r="Y253" s="2457">
        <f>'[1]PRIH REBALANS'!$AK$590</f>
        <v>1218000</v>
      </c>
      <c r="Z253" s="1136"/>
      <c r="AA253" s="1136">
        <f>'[9]PRIH REBALANS'!$AK$590</f>
        <v>1218000</v>
      </c>
      <c r="AB253" s="1293">
        <f t="shared" si="211"/>
        <v>0</v>
      </c>
      <c r="AC253" s="1293">
        <f t="shared" si="213"/>
        <v>0</v>
      </c>
      <c r="AD253" s="1293"/>
      <c r="AE253" s="1293">
        <f t="shared" si="212"/>
        <v>0</v>
      </c>
      <c r="AF253" s="1294"/>
      <c r="AG253" s="1294"/>
      <c r="AH253" s="1294">
        <f t="shared" si="214"/>
        <v>-2000</v>
      </c>
      <c r="AI253" s="1294">
        <f t="shared" si="258"/>
        <v>0</v>
      </c>
      <c r="AJ253" s="1293">
        <f t="shared" si="217"/>
        <v>0</v>
      </c>
      <c r="AK253" s="1294">
        <f t="shared" si="266"/>
        <v>0</v>
      </c>
      <c r="AL253" s="1294"/>
      <c r="AM253" s="1294"/>
      <c r="AN253" s="1294"/>
      <c r="AO253" s="1294"/>
      <c r="AP253" s="1294"/>
      <c r="AQ253" s="1294"/>
      <c r="AR253" s="1294">
        <f t="shared" si="259"/>
        <v>0</v>
      </c>
      <c r="AS253" s="1136">
        <f>SUM(W254:W255)</f>
        <v>1218000</v>
      </c>
      <c r="AT253" s="668">
        <f t="shared" si="260"/>
        <v>0</v>
      </c>
      <c r="AU253" s="463">
        <f>SUM(W254:W255)</f>
        <v>1218000</v>
      </c>
      <c r="AV253" s="468">
        <f t="shared" si="267"/>
        <v>0</v>
      </c>
      <c r="AW253" s="468">
        <f t="shared" si="261"/>
        <v>1218000</v>
      </c>
      <c r="AX253" s="463"/>
      <c r="AY253" s="463"/>
      <c r="AZ253" s="463"/>
      <c r="BA253" s="463"/>
      <c r="BB253" s="463"/>
      <c r="BC253" s="437">
        <f>'[2]PRIH REBALANS'!$AK$609</f>
        <v>1220000</v>
      </c>
      <c r="BD253" s="437">
        <f t="shared" si="268"/>
        <v>2000</v>
      </c>
      <c r="BE253">
        <f t="shared" si="263"/>
        <v>100</v>
      </c>
      <c r="BF253" s="437">
        <f t="shared" si="264"/>
        <v>0.16393442622950261</v>
      </c>
      <c r="BG253" s="209">
        <f>SUM(W254:W255)</f>
        <v>1218000</v>
      </c>
    </row>
    <row r="254" spans="1:60" ht="39" customHeight="1">
      <c r="A254" s="1572"/>
      <c r="B254" s="1573"/>
      <c r="C254" s="1573"/>
      <c r="D254" s="1373">
        <v>111</v>
      </c>
      <c r="E254" s="1373"/>
      <c r="F254" s="1796" t="s">
        <v>209</v>
      </c>
      <c r="G254" s="1837" t="s">
        <v>210</v>
      </c>
      <c r="H254" s="1651">
        <v>833000</v>
      </c>
      <c r="I254" s="1575"/>
      <c r="J254" s="1575"/>
      <c r="K254" s="1374">
        <f>SUM(H254:J254)</f>
        <v>833000</v>
      </c>
      <c r="L254" s="1652">
        <v>842000</v>
      </c>
      <c r="M254" s="1301"/>
      <c r="N254" s="1302"/>
      <c r="O254" s="1375">
        <f>SUM(L254)</f>
        <v>842000</v>
      </c>
      <c r="P254" s="1652"/>
      <c r="Q254" s="1301"/>
      <c r="R254" s="1302"/>
      <c r="S254" s="1375">
        <f>SUM(P254)</f>
        <v>0</v>
      </c>
      <c r="T254" s="1652">
        <v>842000</v>
      </c>
      <c r="U254" s="1301"/>
      <c r="V254" s="1302"/>
      <c r="W254" s="1375">
        <f>SUM(T254)</f>
        <v>842000</v>
      </c>
      <c r="X254" s="1578">
        <f t="shared" si="215"/>
        <v>100</v>
      </c>
      <c r="Y254" s="2457"/>
      <c r="Z254" s="1136"/>
      <c r="AA254" s="1136"/>
      <c r="AB254" s="1293">
        <f t="shared" si="211"/>
        <v>0</v>
      </c>
      <c r="AC254" s="1293">
        <f t="shared" si="213"/>
        <v>0</v>
      </c>
      <c r="AD254" s="1293"/>
      <c r="AE254" s="1293">
        <f t="shared" si="212"/>
        <v>0</v>
      </c>
      <c r="AF254" s="1294"/>
      <c r="AG254" s="1294"/>
      <c r="AH254" s="1294">
        <f t="shared" si="214"/>
        <v>0</v>
      </c>
      <c r="AI254" s="1294">
        <f t="shared" si="258"/>
        <v>0</v>
      </c>
      <c r="AJ254" s="1293">
        <f t="shared" si="217"/>
        <v>0</v>
      </c>
      <c r="AK254" s="1294">
        <f t="shared" si="266"/>
        <v>0</v>
      </c>
      <c r="AL254" s="1294"/>
      <c r="AM254" s="1294"/>
      <c r="AN254" s="1294"/>
      <c r="AO254" s="1294"/>
      <c r="AP254" s="1294"/>
      <c r="AQ254" s="1294"/>
      <c r="AR254" s="1294">
        <f t="shared" si="259"/>
        <v>0</v>
      </c>
      <c r="AS254" s="1136"/>
      <c r="AT254" s="668">
        <f t="shared" si="260"/>
        <v>0</v>
      </c>
      <c r="AU254" s="463"/>
      <c r="AV254" s="468">
        <f t="shared" si="267"/>
        <v>0</v>
      </c>
      <c r="AW254" s="468">
        <f t="shared" si="261"/>
        <v>842000</v>
      </c>
      <c r="AX254" s="272"/>
      <c r="AY254" s="272"/>
      <c r="AZ254" s="272"/>
      <c r="BA254" s="272"/>
      <c r="BB254" s="272"/>
      <c r="BC254" s="437">
        <f>T254+U254+V254+-W254</f>
        <v>0</v>
      </c>
      <c r="BD254" s="437">
        <f t="shared" si="268"/>
        <v>-842000</v>
      </c>
      <c r="BE254">
        <f t="shared" si="263"/>
        <v>99.470899470899468</v>
      </c>
      <c r="BF254" s="437">
        <f t="shared" si="264"/>
        <v>-0.52910052910053196</v>
      </c>
    </row>
    <row r="255" spans="1:60" ht="39" customHeight="1">
      <c r="A255" s="1572"/>
      <c r="B255" s="1573"/>
      <c r="C255" s="1573"/>
      <c r="D255" s="1373">
        <v>111</v>
      </c>
      <c r="E255" s="1373" t="s">
        <v>206</v>
      </c>
      <c r="F255" s="1796" t="s">
        <v>211</v>
      </c>
      <c r="G255" s="1838" t="s">
        <v>659</v>
      </c>
      <c r="H255" s="1651">
        <v>375000</v>
      </c>
      <c r="I255" s="1380"/>
      <c r="J255" s="1380"/>
      <c r="K255" s="1374">
        <f t="shared" ref="K255:K261" si="271">SUM(H255:J255)</f>
        <v>375000</v>
      </c>
      <c r="L255" s="1652">
        <v>378000</v>
      </c>
      <c r="M255" s="1303"/>
      <c r="N255" s="1304"/>
      <c r="O255" s="1375">
        <f>SUM(L255)</f>
        <v>378000</v>
      </c>
      <c r="P255" s="1652"/>
      <c r="Q255" s="1303"/>
      <c r="R255" s="1304"/>
      <c r="S255" s="1375">
        <f>SUM(P255)</f>
        <v>0</v>
      </c>
      <c r="T255" s="1652">
        <v>376000</v>
      </c>
      <c r="U255" s="1303"/>
      <c r="V255" s="1304"/>
      <c r="W255" s="1375">
        <f>SUM(T255)</f>
        <v>376000</v>
      </c>
      <c r="X255" s="1578">
        <f t="shared" si="215"/>
        <v>99.470899470899468</v>
      </c>
      <c r="Y255" s="2457"/>
      <c r="Z255" s="1136"/>
      <c r="AA255" s="1136"/>
      <c r="AB255" s="1293">
        <f t="shared" si="211"/>
        <v>0</v>
      </c>
      <c r="AC255" s="1293">
        <f t="shared" si="213"/>
        <v>0</v>
      </c>
      <c r="AD255" s="1293"/>
      <c r="AE255" s="1293">
        <f t="shared" si="212"/>
        <v>0</v>
      </c>
      <c r="AF255" s="1294"/>
      <c r="AG255" s="1294"/>
      <c r="AH255" s="1294">
        <f t="shared" si="214"/>
        <v>-2000</v>
      </c>
      <c r="AI255" s="1294">
        <f t="shared" si="258"/>
        <v>0</v>
      </c>
      <c r="AJ255" s="1293">
        <f t="shared" si="217"/>
        <v>0</v>
      </c>
      <c r="AK255" s="1294">
        <f t="shared" si="266"/>
        <v>0</v>
      </c>
      <c r="AL255" s="1294"/>
      <c r="AM255" s="1294"/>
      <c r="AN255" s="1294"/>
      <c r="AO255" s="1294"/>
      <c r="AP255" s="1294"/>
      <c r="AQ255" s="1294"/>
      <c r="AR255" s="1294">
        <f t="shared" si="259"/>
        <v>0</v>
      </c>
      <c r="AS255" s="1136"/>
      <c r="AT255" s="668">
        <f t="shared" si="260"/>
        <v>0</v>
      </c>
      <c r="AU255" s="463"/>
      <c r="AV255" s="468">
        <f t="shared" si="267"/>
        <v>0</v>
      </c>
      <c r="AW255" s="468">
        <f t="shared" si="261"/>
        <v>376000</v>
      </c>
      <c r="AX255" s="272"/>
      <c r="AY255" s="272"/>
      <c r="AZ255" s="272"/>
      <c r="BA255" s="272"/>
      <c r="BB255" s="272"/>
      <c r="BC255" s="437">
        <f>T255+U255+V255+-W255</f>
        <v>0</v>
      </c>
      <c r="BD255" s="437">
        <f t="shared" si="268"/>
        <v>-376000</v>
      </c>
      <c r="BE255">
        <f t="shared" si="263"/>
        <v>100.52109598251806</v>
      </c>
      <c r="BF255" s="437">
        <f t="shared" si="264"/>
        <v>1.0501965116185943</v>
      </c>
    </row>
    <row r="256" spans="1:60" ht="39" customHeight="1">
      <c r="A256" s="1572"/>
      <c r="B256" s="1573"/>
      <c r="C256" s="1573"/>
      <c r="D256" s="1373">
        <v>111</v>
      </c>
      <c r="E256" s="1373"/>
      <c r="F256" s="1795">
        <v>611200</v>
      </c>
      <c r="G256" s="1836" t="s">
        <v>213</v>
      </c>
      <c r="H256" s="1633">
        <f>SUM(H257:H259)</f>
        <v>129100</v>
      </c>
      <c r="I256" s="1633">
        <f>SUM(I257:I259)</f>
        <v>0</v>
      </c>
      <c r="J256" s="1633">
        <f>SUM(J257:J259)</f>
        <v>0</v>
      </c>
      <c r="K256" s="1381">
        <f t="shared" si="271"/>
        <v>129100</v>
      </c>
      <c r="L256" s="1632">
        <f>SUM(L257:L259)</f>
        <v>148725</v>
      </c>
      <c r="M256" s="1319">
        <f>SUM(M257:M259)</f>
        <v>0</v>
      </c>
      <c r="N256" s="1320">
        <f>SUM(N257:N259)</f>
        <v>0</v>
      </c>
      <c r="O256" s="1336">
        <f t="shared" ref="O256:O261" si="272">SUM(L256:N256)</f>
        <v>148725</v>
      </c>
      <c r="P256" s="1632">
        <f>SUM(P257:P259)</f>
        <v>0</v>
      </c>
      <c r="Q256" s="1319"/>
      <c r="R256" s="1320"/>
      <c r="S256" s="1336">
        <f>SUM(S257:S259)</f>
        <v>0</v>
      </c>
      <c r="T256" s="1632">
        <f>SUM(T257:T259)</f>
        <v>149500</v>
      </c>
      <c r="U256" s="1319"/>
      <c r="V256" s="1320"/>
      <c r="W256" s="1316">
        <f>SUM(W257:W259)</f>
        <v>149500</v>
      </c>
      <c r="X256" s="1578">
        <f t="shared" si="215"/>
        <v>100.52109598251806</v>
      </c>
      <c r="Y256" s="2457">
        <f>'[1]PRIH REBALANS'!$AK$594</f>
        <v>149500</v>
      </c>
      <c r="Z256" s="1136"/>
      <c r="AA256" s="1136">
        <f>'[9]PRIH REBALANS'!$AL$594</f>
        <v>149500</v>
      </c>
      <c r="AB256" s="1293">
        <f t="shared" si="211"/>
        <v>0</v>
      </c>
      <c r="AC256" s="1293">
        <f t="shared" si="213"/>
        <v>0</v>
      </c>
      <c r="AD256" s="1293"/>
      <c r="AE256" s="1293">
        <f t="shared" si="212"/>
        <v>0</v>
      </c>
      <c r="AF256" s="1294"/>
      <c r="AG256" s="1294"/>
      <c r="AH256" s="1294">
        <f t="shared" si="214"/>
        <v>775</v>
      </c>
      <c r="AI256" s="1294">
        <f t="shared" si="258"/>
        <v>0</v>
      </c>
      <c r="AJ256" s="1293">
        <f t="shared" si="217"/>
        <v>0</v>
      </c>
      <c r="AK256" s="1294">
        <f t="shared" si="266"/>
        <v>0</v>
      </c>
      <c r="AL256" s="1294"/>
      <c r="AM256" s="1294"/>
      <c r="AN256" s="1294"/>
      <c r="AO256" s="1294"/>
      <c r="AP256" s="1294"/>
      <c r="AQ256" s="1294"/>
      <c r="AR256" s="1294">
        <f t="shared" si="259"/>
        <v>0</v>
      </c>
      <c r="AS256" s="1136">
        <f>SUM(W257:W259)</f>
        <v>149500</v>
      </c>
      <c r="AT256" s="668">
        <f t="shared" si="260"/>
        <v>0</v>
      </c>
      <c r="AU256" s="463">
        <f>SUM(W257:W259)</f>
        <v>149500</v>
      </c>
      <c r="AV256" s="468">
        <f t="shared" si="267"/>
        <v>0</v>
      </c>
      <c r="AW256" s="468">
        <f t="shared" si="261"/>
        <v>149500</v>
      </c>
      <c r="AX256" s="463"/>
      <c r="AY256" s="463"/>
      <c r="AZ256" s="463"/>
      <c r="BA256" s="463"/>
      <c r="BB256" s="463"/>
      <c r="BC256" s="437">
        <f>'[2]PRIH REBALANS'!$AK$613</f>
        <v>148725</v>
      </c>
      <c r="BD256" s="437">
        <f t="shared" si="268"/>
        <v>-775</v>
      </c>
      <c r="BE256">
        <f t="shared" si="263"/>
        <v>100</v>
      </c>
      <c r="BF256" s="437">
        <f t="shared" si="264"/>
        <v>-0.52109598251806233</v>
      </c>
      <c r="BG256" s="209">
        <f>SUM(W257:W259)</f>
        <v>149500</v>
      </c>
    </row>
    <row r="257" spans="1:59" ht="39" customHeight="1">
      <c r="A257" s="1572"/>
      <c r="B257" s="1573"/>
      <c r="C257" s="1573"/>
      <c r="D257" s="1373">
        <v>111</v>
      </c>
      <c r="E257" s="1373"/>
      <c r="F257" s="1796">
        <v>611211</v>
      </c>
      <c r="G257" s="1838" t="s">
        <v>660</v>
      </c>
      <c r="H257" s="1651">
        <v>17000</v>
      </c>
      <c r="I257" s="1575"/>
      <c r="J257" s="1575"/>
      <c r="K257" s="1374">
        <f t="shared" si="271"/>
        <v>17000</v>
      </c>
      <c r="L257" s="1623">
        <v>16500</v>
      </c>
      <c r="M257" s="1301"/>
      <c r="N257" s="1302"/>
      <c r="O257" s="1375">
        <f t="shared" si="272"/>
        <v>16500</v>
      </c>
      <c r="P257" s="1652"/>
      <c r="Q257" s="1301"/>
      <c r="R257" s="1302"/>
      <c r="S257" s="1375">
        <f t="shared" ref="S257:S259" si="273">SUM(P257:R257)</f>
        <v>0</v>
      </c>
      <c r="T257" s="1652">
        <v>16500</v>
      </c>
      <c r="U257" s="1301"/>
      <c r="V257" s="1302"/>
      <c r="W257" s="1375">
        <f t="shared" ref="W257:W258" si="274">SUM(T257:V257)</f>
        <v>16500</v>
      </c>
      <c r="X257" s="1578">
        <f t="shared" si="215"/>
        <v>100</v>
      </c>
      <c r="Y257" s="2457"/>
      <c r="Z257" s="1136"/>
      <c r="AA257" s="1136"/>
      <c r="AB257" s="1293">
        <f t="shared" si="211"/>
        <v>0</v>
      </c>
      <c r="AC257" s="1293">
        <f t="shared" si="213"/>
        <v>0</v>
      </c>
      <c r="AD257" s="1293"/>
      <c r="AE257" s="1293">
        <f t="shared" si="212"/>
        <v>0</v>
      </c>
      <c r="AF257" s="1294"/>
      <c r="AG257" s="1294"/>
      <c r="AH257" s="1294">
        <f t="shared" si="214"/>
        <v>0</v>
      </c>
      <c r="AI257" s="1294">
        <f t="shared" si="258"/>
        <v>0</v>
      </c>
      <c r="AJ257" s="1293">
        <f t="shared" si="217"/>
        <v>0</v>
      </c>
      <c r="AK257" s="1294">
        <f t="shared" si="266"/>
        <v>0</v>
      </c>
      <c r="AL257" s="1294"/>
      <c r="AM257" s="1294"/>
      <c r="AN257" s="1294"/>
      <c r="AO257" s="1294"/>
      <c r="AP257" s="1294"/>
      <c r="AQ257" s="1294"/>
      <c r="AR257" s="1294">
        <f t="shared" si="259"/>
        <v>0</v>
      </c>
      <c r="AS257" s="1136"/>
      <c r="AT257" s="668">
        <f t="shared" si="260"/>
        <v>0</v>
      </c>
      <c r="AU257" s="463"/>
      <c r="AV257" s="468">
        <f t="shared" si="267"/>
        <v>0</v>
      </c>
      <c r="AW257" s="468">
        <f t="shared" si="261"/>
        <v>16500</v>
      </c>
      <c r="AX257" s="272"/>
      <c r="AY257" s="272"/>
      <c r="AZ257" s="272"/>
      <c r="BA257" s="272"/>
      <c r="BB257" s="272"/>
      <c r="BC257" s="437">
        <f>T257+U257+V257+-W257</f>
        <v>0</v>
      </c>
      <c r="BD257" s="437">
        <f t="shared" si="268"/>
        <v>-16500</v>
      </c>
      <c r="BE257">
        <f t="shared" si="263"/>
        <v>100</v>
      </c>
      <c r="BF257" s="437">
        <f t="shared" si="264"/>
        <v>0</v>
      </c>
    </row>
    <row r="258" spans="1:59" ht="39" customHeight="1">
      <c r="A258" s="1572"/>
      <c r="B258" s="1573"/>
      <c r="C258" s="1573"/>
      <c r="D258" s="1373">
        <v>111</v>
      </c>
      <c r="E258" s="1373"/>
      <c r="F258" s="1797">
        <v>611221</v>
      </c>
      <c r="G258" s="1837" t="s">
        <v>661</v>
      </c>
      <c r="H258" s="1651">
        <v>89000</v>
      </c>
      <c r="I258" s="1575"/>
      <c r="J258" s="1575"/>
      <c r="K258" s="1374">
        <f t="shared" si="271"/>
        <v>89000</v>
      </c>
      <c r="L258" s="1653">
        <v>107000</v>
      </c>
      <c r="M258" s="1301"/>
      <c r="N258" s="1302"/>
      <c r="O258" s="1375">
        <f t="shared" si="272"/>
        <v>107000</v>
      </c>
      <c r="P258" s="1652"/>
      <c r="Q258" s="1301"/>
      <c r="R258" s="1302"/>
      <c r="S258" s="1375">
        <f t="shared" si="273"/>
        <v>0</v>
      </c>
      <c r="T258" s="1652">
        <v>107000</v>
      </c>
      <c r="U258" s="1301"/>
      <c r="V258" s="1302"/>
      <c r="W258" s="1375">
        <f t="shared" si="274"/>
        <v>107000</v>
      </c>
      <c r="X258" s="1578">
        <f t="shared" si="215"/>
        <v>100</v>
      </c>
      <c r="Y258" s="2457"/>
      <c r="Z258" s="1136"/>
      <c r="AA258" s="1136"/>
      <c r="AB258" s="1293">
        <f t="shared" si="211"/>
        <v>0</v>
      </c>
      <c r="AC258" s="1293">
        <f t="shared" si="213"/>
        <v>0</v>
      </c>
      <c r="AD258" s="1293"/>
      <c r="AE258" s="1293">
        <f t="shared" si="212"/>
        <v>0</v>
      </c>
      <c r="AF258" s="1294"/>
      <c r="AG258" s="1294"/>
      <c r="AH258" s="1294">
        <f t="shared" si="214"/>
        <v>0</v>
      </c>
      <c r="AI258" s="1294">
        <f t="shared" si="258"/>
        <v>0</v>
      </c>
      <c r="AJ258" s="1293">
        <f t="shared" si="217"/>
        <v>0</v>
      </c>
      <c r="AK258" s="1294">
        <f t="shared" si="266"/>
        <v>0</v>
      </c>
      <c r="AL258" s="1294"/>
      <c r="AM258" s="1294"/>
      <c r="AN258" s="1294"/>
      <c r="AO258" s="1294"/>
      <c r="AP258" s="1294"/>
      <c r="AQ258" s="1294"/>
      <c r="AR258" s="1294">
        <f t="shared" si="259"/>
        <v>0</v>
      </c>
      <c r="AS258" s="1136"/>
      <c r="AT258" s="668">
        <f t="shared" si="260"/>
        <v>0</v>
      </c>
      <c r="AU258" s="463"/>
      <c r="AV258" s="468">
        <f t="shared" si="267"/>
        <v>0</v>
      </c>
      <c r="AW258" s="468">
        <f t="shared" si="261"/>
        <v>107000</v>
      </c>
      <c r="AX258" s="272"/>
      <c r="AY258" s="272"/>
      <c r="AZ258" s="272"/>
      <c r="BA258" s="272"/>
      <c r="BB258" s="272"/>
      <c r="BC258" s="437">
        <f>T258+U258+V258+-W258</f>
        <v>0</v>
      </c>
      <c r="BD258" s="437">
        <f t="shared" si="268"/>
        <v>-107000</v>
      </c>
      <c r="BE258">
        <f t="shared" si="263"/>
        <v>103.07234886025769</v>
      </c>
      <c r="BF258" s="437">
        <f t="shared" si="264"/>
        <v>3.0723488602576907</v>
      </c>
    </row>
    <row r="259" spans="1:59" ht="39" customHeight="1">
      <c r="A259" s="1572"/>
      <c r="B259" s="1573"/>
      <c r="C259" s="1573"/>
      <c r="D259" s="1373">
        <v>111</v>
      </c>
      <c r="E259" s="1373" t="s">
        <v>206</v>
      </c>
      <c r="F259" s="1797">
        <v>611224</v>
      </c>
      <c r="G259" s="1837" t="s">
        <v>214</v>
      </c>
      <c r="H259" s="1651">
        <v>23100</v>
      </c>
      <c r="I259" s="1380"/>
      <c r="J259" s="1380"/>
      <c r="K259" s="1374">
        <f t="shared" si="271"/>
        <v>23100</v>
      </c>
      <c r="L259" s="1653">
        <v>25225</v>
      </c>
      <c r="M259" s="1303"/>
      <c r="N259" s="1304"/>
      <c r="O259" s="1375">
        <f t="shared" si="272"/>
        <v>25225</v>
      </c>
      <c r="P259" s="1652"/>
      <c r="Q259" s="1303"/>
      <c r="R259" s="1304"/>
      <c r="S259" s="1375">
        <f t="shared" si="273"/>
        <v>0</v>
      </c>
      <c r="T259" s="1652">
        <v>26000</v>
      </c>
      <c r="U259" s="1303"/>
      <c r="V259" s="1304"/>
      <c r="W259" s="1375">
        <f>SUM(T259:V259)</f>
        <v>26000</v>
      </c>
      <c r="X259" s="1578">
        <f t="shared" si="215"/>
        <v>103.07234886025769</v>
      </c>
      <c r="Y259" s="2457"/>
      <c r="Z259" s="1136"/>
      <c r="AA259" s="1136"/>
      <c r="AB259" s="1293">
        <f t="shared" si="211"/>
        <v>0</v>
      </c>
      <c r="AC259" s="1293">
        <f t="shared" si="213"/>
        <v>0</v>
      </c>
      <c r="AD259" s="1293"/>
      <c r="AE259" s="1293">
        <f t="shared" si="212"/>
        <v>0</v>
      </c>
      <c r="AF259" s="1294"/>
      <c r="AG259" s="1294"/>
      <c r="AH259" s="1294">
        <f t="shared" si="214"/>
        <v>775</v>
      </c>
      <c r="AI259" s="1294">
        <f t="shared" si="258"/>
        <v>0</v>
      </c>
      <c r="AJ259" s="1293">
        <f t="shared" si="217"/>
        <v>0</v>
      </c>
      <c r="AK259" s="1294">
        <f t="shared" si="266"/>
        <v>0</v>
      </c>
      <c r="AL259" s="1294"/>
      <c r="AM259" s="1294"/>
      <c r="AN259" s="1294"/>
      <c r="AO259" s="1294"/>
      <c r="AP259" s="1294"/>
      <c r="AQ259" s="1294"/>
      <c r="AR259" s="1294">
        <f t="shared" si="259"/>
        <v>0</v>
      </c>
      <c r="AS259" s="1136"/>
      <c r="AT259" s="668">
        <f t="shared" si="260"/>
        <v>0</v>
      </c>
      <c r="AU259" s="463"/>
      <c r="AV259" s="468">
        <f t="shared" si="267"/>
        <v>0</v>
      </c>
      <c r="AW259" s="468">
        <f t="shared" si="261"/>
        <v>26000</v>
      </c>
      <c r="AX259" s="272"/>
      <c r="AY259" s="272"/>
      <c r="AZ259" s="272"/>
      <c r="BA259" s="272"/>
      <c r="BB259" s="272"/>
      <c r="BC259" s="437">
        <f>T259+U259+V259+-W259</f>
        <v>0</v>
      </c>
      <c r="BD259" s="437">
        <f t="shared" si="268"/>
        <v>-26000</v>
      </c>
      <c r="BE259">
        <f t="shared" si="263"/>
        <v>100</v>
      </c>
      <c r="BF259" s="437">
        <f t="shared" si="264"/>
        <v>-3.0723488602576907</v>
      </c>
    </row>
    <row r="260" spans="1:59" ht="39" customHeight="1">
      <c r="A260" s="1376"/>
      <c r="B260" s="1377"/>
      <c r="C260" s="1377"/>
      <c r="D260" s="1373">
        <v>111</v>
      </c>
      <c r="E260" s="1373"/>
      <c r="F260" s="1795">
        <v>612000</v>
      </c>
      <c r="G260" s="1836" t="s">
        <v>216</v>
      </c>
      <c r="H260" s="1380">
        <f t="shared" ref="H260:J260" si="275">SUM(H261)</f>
        <v>127000</v>
      </c>
      <c r="I260" s="1380">
        <f t="shared" si="275"/>
        <v>0</v>
      </c>
      <c r="J260" s="1380">
        <f t="shared" si="275"/>
        <v>0</v>
      </c>
      <c r="K260" s="1381">
        <f t="shared" si="271"/>
        <v>127000</v>
      </c>
      <c r="L260" s="1601">
        <f t="shared" ref="L260:N260" si="276">SUM(L261)</f>
        <v>130000</v>
      </c>
      <c r="M260" s="1303">
        <f t="shared" si="276"/>
        <v>0</v>
      </c>
      <c r="N260" s="1304">
        <f t="shared" si="276"/>
        <v>0</v>
      </c>
      <c r="O260" s="1336">
        <f t="shared" si="272"/>
        <v>130000</v>
      </c>
      <c r="P260" s="1601">
        <f>SUM(P261)</f>
        <v>0</v>
      </c>
      <c r="Q260" s="1303"/>
      <c r="R260" s="1304"/>
      <c r="S260" s="1336">
        <f>SUM(S261)</f>
        <v>0</v>
      </c>
      <c r="T260" s="1601">
        <f>SUM(T261)</f>
        <v>130000</v>
      </c>
      <c r="U260" s="1303"/>
      <c r="V260" s="1304"/>
      <c r="W260" s="1316">
        <f>SUM(W261)</f>
        <v>130000</v>
      </c>
      <c r="X260" s="1578">
        <f t="shared" si="215"/>
        <v>100</v>
      </c>
      <c r="Y260" s="2457">
        <f>'[1]PRIH REBALANS'!$AK$598</f>
        <v>130000</v>
      </c>
      <c r="Z260" s="1136"/>
      <c r="AA260" s="1136">
        <f>'[9]PRIH REBALANS'!$AK$598</f>
        <v>130000</v>
      </c>
      <c r="AB260" s="1293">
        <f t="shared" ref="AB260:AB323" si="277">T260+U260+V260-W260</f>
        <v>0</v>
      </c>
      <c r="AC260" s="1293">
        <f t="shared" si="213"/>
        <v>0</v>
      </c>
      <c r="AD260" s="1293"/>
      <c r="AE260" s="1293">
        <f t="shared" si="212"/>
        <v>0</v>
      </c>
      <c r="AF260" s="1294"/>
      <c r="AG260" s="1294"/>
      <c r="AH260" s="1294">
        <f t="shared" si="214"/>
        <v>0</v>
      </c>
      <c r="AI260" s="1294">
        <f t="shared" si="258"/>
        <v>0</v>
      </c>
      <c r="AJ260" s="1293">
        <f t="shared" si="217"/>
        <v>0</v>
      </c>
      <c r="AK260" s="1294">
        <f t="shared" si="266"/>
        <v>0</v>
      </c>
      <c r="AL260" s="1294"/>
      <c r="AM260" s="1294"/>
      <c r="AN260" s="1294"/>
      <c r="AO260" s="1294"/>
      <c r="AP260" s="1294"/>
      <c r="AQ260" s="1294"/>
      <c r="AR260" s="1294">
        <f t="shared" si="259"/>
        <v>0</v>
      </c>
      <c r="AS260" s="1136">
        <f>W261</f>
        <v>130000</v>
      </c>
      <c r="AT260" s="668">
        <f t="shared" si="260"/>
        <v>0</v>
      </c>
      <c r="AU260" s="463">
        <f>W261</f>
        <v>130000</v>
      </c>
      <c r="AV260" s="468">
        <f t="shared" si="267"/>
        <v>0</v>
      </c>
      <c r="AW260" s="468">
        <f t="shared" si="261"/>
        <v>130000</v>
      </c>
      <c r="AX260" s="463"/>
      <c r="AY260" s="463"/>
      <c r="AZ260" s="463"/>
      <c r="BA260" s="463"/>
      <c r="BB260" s="463"/>
      <c r="BC260" s="437">
        <f>T260+U260+V260+-W260</f>
        <v>0</v>
      </c>
      <c r="BD260" s="437">
        <f t="shared" si="268"/>
        <v>-130000</v>
      </c>
      <c r="BE260">
        <f t="shared" si="263"/>
        <v>100</v>
      </c>
      <c r="BF260" s="437">
        <f t="shared" si="264"/>
        <v>0</v>
      </c>
      <c r="BG260" s="209">
        <f>W261</f>
        <v>130000</v>
      </c>
    </row>
    <row r="261" spans="1:59" ht="39" customHeight="1">
      <c r="A261" s="1572"/>
      <c r="B261" s="1573"/>
      <c r="C261" s="1573"/>
      <c r="D261" s="1373">
        <v>111</v>
      </c>
      <c r="E261" s="1373" t="s">
        <v>206</v>
      </c>
      <c r="F261" s="1796">
        <v>612110</v>
      </c>
      <c r="G261" s="1838" t="s">
        <v>217</v>
      </c>
      <c r="H261" s="1651">
        <v>127000</v>
      </c>
      <c r="I261" s="1380"/>
      <c r="J261" s="1380"/>
      <c r="K261" s="1374">
        <f t="shared" si="271"/>
        <v>127000</v>
      </c>
      <c r="L261" s="1652">
        <v>130000</v>
      </c>
      <c r="M261" s="1303"/>
      <c r="N261" s="1304"/>
      <c r="O261" s="1375">
        <f t="shared" si="272"/>
        <v>130000</v>
      </c>
      <c r="P261" s="1652"/>
      <c r="Q261" s="1303"/>
      <c r="R261" s="1304"/>
      <c r="S261" s="1375">
        <f t="shared" ref="S261" si="278">SUM(P261:R261)</f>
        <v>0</v>
      </c>
      <c r="T261" s="1652">
        <v>130000</v>
      </c>
      <c r="U261" s="1303"/>
      <c r="V261" s="1304"/>
      <c r="W261" s="1375">
        <f>SUM(T261:V261)</f>
        <v>130000</v>
      </c>
      <c r="X261" s="1578">
        <f t="shared" si="215"/>
        <v>100</v>
      </c>
      <c r="Y261" s="2457"/>
      <c r="Z261" s="1136"/>
      <c r="AA261" s="1136"/>
      <c r="AB261" s="1293">
        <f t="shared" si="277"/>
        <v>0</v>
      </c>
      <c r="AC261" s="1293">
        <f t="shared" si="213"/>
        <v>0</v>
      </c>
      <c r="AD261" s="1293"/>
      <c r="AE261" s="1293">
        <f t="shared" ref="AE261:AE324" si="279">T261+U261+V261-W261</f>
        <v>0</v>
      </c>
      <c r="AF261" s="1294"/>
      <c r="AG261" s="1294"/>
      <c r="AH261" s="1294">
        <f t="shared" si="214"/>
        <v>0</v>
      </c>
      <c r="AI261" s="1294">
        <f t="shared" si="258"/>
        <v>0</v>
      </c>
      <c r="AJ261" s="1293">
        <f t="shared" si="217"/>
        <v>0</v>
      </c>
      <c r="AK261" s="1294">
        <f t="shared" si="266"/>
        <v>0</v>
      </c>
      <c r="AL261" s="1294"/>
      <c r="AM261" s="1294"/>
      <c r="AN261" s="1294"/>
      <c r="AO261" s="1294"/>
      <c r="AP261" s="1294"/>
      <c r="AQ261" s="1294"/>
      <c r="AR261" s="1294">
        <f t="shared" si="259"/>
        <v>0</v>
      </c>
      <c r="AS261" s="1136"/>
      <c r="AT261" s="668">
        <f t="shared" si="260"/>
        <v>0</v>
      </c>
      <c r="AU261" s="463"/>
      <c r="AV261" s="468">
        <f t="shared" si="267"/>
        <v>0</v>
      </c>
      <c r="AW261" s="468">
        <f t="shared" si="261"/>
        <v>130000</v>
      </c>
      <c r="AX261" s="272"/>
      <c r="AY261" s="272"/>
      <c r="AZ261" s="272"/>
      <c r="BA261" s="272"/>
      <c r="BB261" s="272"/>
      <c r="BC261" s="437">
        <f>T261+U261+V261+-W261</f>
        <v>0</v>
      </c>
      <c r="BD261" s="437">
        <f t="shared" si="268"/>
        <v>-130000</v>
      </c>
      <c r="BE261">
        <f t="shared" si="263"/>
        <v>115.66757493188011</v>
      </c>
      <c r="BF261" s="437">
        <f t="shared" si="264"/>
        <v>15.667574931880111</v>
      </c>
    </row>
    <row r="262" spans="1:59" ht="39" customHeight="1">
      <c r="A262" s="1572"/>
      <c r="B262" s="1573"/>
      <c r="C262" s="1573"/>
      <c r="D262" s="1373">
        <v>111</v>
      </c>
      <c r="E262" s="1378"/>
      <c r="F262" s="1795">
        <v>613000</v>
      </c>
      <c r="G262" s="1836" t="s">
        <v>169</v>
      </c>
      <c r="H262" s="1380">
        <f t="shared" ref="H262:N262" si="280">SUM(H263:H268)</f>
        <v>58400</v>
      </c>
      <c r="I262" s="1380">
        <f t="shared" si="280"/>
        <v>0</v>
      </c>
      <c r="J262" s="1380">
        <f t="shared" si="280"/>
        <v>0</v>
      </c>
      <c r="K262" s="1381">
        <f t="shared" si="280"/>
        <v>58400</v>
      </c>
      <c r="L262" s="1601">
        <f t="shared" si="280"/>
        <v>73400</v>
      </c>
      <c r="M262" s="1303">
        <f t="shared" si="280"/>
        <v>0</v>
      </c>
      <c r="N262" s="1304">
        <f t="shared" si="280"/>
        <v>0</v>
      </c>
      <c r="O262" s="1336">
        <f>SUM(O263:O268)</f>
        <v>73400</v>
      </c>
      <c r="P262" s="1601">
        <f>SUM(P263:P268)</f>
        <v>89900</v>
      </c>
      <c r="Q262" s="1303"/>
      <c r="R262" s="1304"/>
      <c r="S262" s="1336">
        <f>SUM(S263:S268)</f>
        <v>89900</v>
      </c>
      <c r="T262" s="1601">
        <f>SUM(T263:T268)</f>
        <v>84900</v>
      </c>
      <c r="U262" s="1303"/>
      <c r="V262" s="1304"/>
      <c r="W262" s="1316">
        <f>SUM(W263:W268)</f>
        <v>84900</v>
      </c>
      <c r="X262" s="1578">
        <f t="shared" si="215"/>
        <v>115.66757493188011</v>
      </c>
      <c r="Y262" s="2457">
        <f>'[1]PRIH REBALANS'!$AK$600</f>
        <v>84900</v>
      </c>
      <c r="Z262" s="1136"/>
      <c r="AA262" s="1136">
        <f>'[9]PRIH REBALANS'!$AK$600</f>
        <v>84900</v>
      </c>
      <c r="AB262" s="1293">
        <f t="shared" si="277"/>
        <v>0</v>
      </c>
      <c r="AC262" s="1293">
        <f t="shared" ref="AC262:AC325" si="281">T262+U262+V262-W262</f>
        <v>0</v>
      </c>
      <c r="AD262" s="1293"/>
      <c r="AE262" s="1293">
        <f t="shared" si="279"/>
        <v>0</v>
      </c>
      <c r="AF262" s="1294"/>
      <c r="AG262" s="1294"/>
      <c r="AH262" s="1294">
        <f t="shared" ref="AH262:AH325" si="282">T262-L262</f>
        <v>11500</v>
      </c>
      <c r="AI262" s="1294">
        <f t="shared" si="258"/>
        <v>0</v>
      </c>
      <c r="AJ262" s="1293">
        <f t="shared" si="217"/>
        <v>0</v>
      </c>
      <c r="AK262" s="1294">
        <f t="shared" si="266"/>
        <v>0</v>
      </c>
      <c r="AL262" s="1294"/>
      <c r="AM262" s="1294"/>
      <c r="AN262" s="1294"/>
      <c r="AO262" s="1294"/>
      <c r="AP262" s="1294"/>
      <c r="AQ262" s="1294"/>
      <c r="AR262" s="1294">
        <f t="shared" si="259"/>
        <v>0</v>
      </c>
      <c r="AS262" s="1136">
        <f>SUM(W263:W268)</f>
        <v>84900</v>
      </c>
      <c r="AT262" s="668">
        <f t="shared" si="260"/>
        <v>0</v>
      </c>
      <c r="AU262" s="463">
        <f>SUM(W263:W268)</f>
        <v>84900</v>
      </c>
      <c r="AV262" s="468">
        <f t="shared" si="267"/>
        <v>0</v>
      </c>
      <c r="AW262" s="468">
        <f t="shared" si="261"/>
        <v>84900</v>
      </c>
      <c r="AX262" s="463"/>
      <c r="AY262" s="463"/>
      <c r="AZ262" s="463"/>
      <c r="BA262" s="463"/>
      <c r="BB262" s="463"/>
      <c r="BC262" s="437">
        <f>'[2]PRIH REBALANS'!$AK$619</f>
        <v>73400</v>
      </c>
      <c r="BD262" s="437">
        <f t="shared" si="268"/>
        <v>-11500</v>
      </c>
      <c r="BE262">
        <f t="shared" si="263"/>
        <v>160</v>
      </c>
      <c r="BF262" s="437">
        <f t="shared" si="264"/>
        <v>44.332425068119889</v>
      </c>
      <c r="BG262" s="209">
        <f>SUM(W263:W268)</f>
        <v>84900</v>
      </c>
    </row>
    <row r="263" spans="1:59" ht="39" customHeight="1">
      <c r="A263" s="1572"/>
      <c r="B263" s="1573"/>
      <c r="C263" s="1573"/>
      <c r="D263" s="1373">
        <v>111</v>
      </c>
      <c r="E263" s="1574"/>
      <c r="F263" s="1796">
        <v>613100</v>
      </c>
      <c r="G263" s="1838" t="s">
        <v>170</v>
      </c>
      <c r="H263" s="1651">
        <v>2000</v>
      </c>
      <c r="I263" s="1575"/>
      <c r="J263" s="1575"/>
      <c r="K263" s="1374">
        <f>SUM(H263:J263)</f>
        <v>2000</v>
      </c>
      <c r="L263" s="1652">
        <v>2500</v>
      </c>
      <c r="M263" s="1301"/>
      <c r="N263" s="1302"/>
      <c r="O263" s="1375">
        <f>SUM(L263:N263)</f>
        <v>2500</v>
      </c>
      <c r="P263" s="1652">
        <v>4000</v>
      </c>
      <c r="Q263" s="1301"/>
      <c r="R263" s="1302"/>
      <c r="S263" s="1375">
        <f>SUM(P263:R263)</f>
        <v>4000</v>
      </c>
      <c r="T263" s="1652">
        <v>4000</v>
      </c>
      <c r="U263" s="1301"/>
      <c r="V263" s="1302"/>
      <c r="W263" s="1375">
        <f>SUM(T263:V263)</f>
        <v>4000</v>
      </c>
      <c r="X263" s="1578">
        <f t="shared" si="215"/>
        <v>160</v>
      </c>
      <c r="Y263" s="2457"/>
      <c r="Z263" s="1136"/>
      <c r="AA263" s="1136"/>
      <c r="AB263" s="1293">
        <f t="shared" si="277"/>
        <v>0</v>
      </c>
      <c r="AC263" s="1293">
        <f t="shared" si="281"/>
        <v>0</v>
      </c>
      <c r="AD263" s="1293"/>
      <c r="AE263" s="1293">
        <f t="shared" si="279"/>
        <v>0</v>
      </c>
      <c r="AF263" s="1294"/>
      <c r="AG263" s="1294"/>
      <c r="AH263" s="1294">
        <f t="shared" si="282"/>
        <v>1500</v>
      </c>
      <c r="AI263" s="1294">
        <f t="shared" si="258"/>
        <v>0</v>
      </c>
      <c r="AJ263" s="1293">
        <f t="shared" si="217"/>
        <v>0</v>
      </c>
      <c r="AK263" s="1294">
        <f t="shared" si="266"/>
        <v>0</v>
      </c>
      <c r="AL263" s="1294"/>
      <c r="AM263" s="1294"/>
      <c r="AN263" s="1294"/>
      <c r="AO263" s="1294"/>
      <c r="AP263" s="1294"/>
      <c r="AQ263" s="1294"/>
      <c r="AR263" s="1294">
        <f t="shared" si="259"/>
        <v>0</v>
      </c>
      <c r="AS263" s="1136"/>
      <c r="AT263" s="668">
        <f t="shared" si="260"/>
        <v>0</v>
      </c>
      <c r="AU263" s="463"/>
      <c r="AV263" s="468">
        <f t="shared" si="267"/>
        <v>0</v>
      </c>
      <c r="AW263" s="468">
        <f t="shared" si="261"/>
        <v>4000</v>
      </c>
      <c r="AX263" s="272"/>
      <c r="AY263" s="272"/>
      <c r="AZ263" s="272"/>
      <c r="BA263" s="272"/>
      <c r="BB263" s="272"/>
      <c r="BC263" s="437">
        <f>T263+U263+V263+-W263</f>
        <v>0</v>
      </c>
      <c r="BD263" s="437">
        <f t="shared" si="268"/>
        <v>-4000</v>
      </c>
      <c r="BE263">
        <f t="shared" si="263"/>
        <v>114.28571428571428</v>
      </c>
      <c r="BF263" s="437">
        <f t="shared" si="264"/>
        <v>-45.714285714285722</v>
      </c>
    </row>
    <row r="264" spans="1:59" ht="39" customHeight="1">
      <c r="A264" s="1572"/>
      <c r="B264" s="1573"/>
      <c r="C264" s="1573"/>
      <c r="D264" s="1373">
        <v>111</v>
      </c>
      <c r="E264" s="1574"/>
      <c r="F264" s="1796">
        <v>613200</v>
      </c>
      <c r="G264" s="1838" t="s">
        <v>171</v>
      </c>
      <c r="H264" s="1651">
        <v>12000</v>
      </c>
      <c r="I264" s="1575"/>
      <c r="J264" s="1575"/>
      <c r="K264" s="1374">
        <f>SUM(H264:J264)</f>
        <v>12000</v>
      </c>
      <c r="L264" s="1652">
        <v>14000</v>
      </c>
      <c r="M264" s="1301"/>
      <c r="N264" s="1302"/>
      <c r="O264" s="1375">
        <f t="shared" ref="O264:O267" si="283">SUM(L264:N264)</f>
        <v>14000</v>
      </c>
      <c r="P264" s="1652">
        <v>18000</v>
      </c>
      <c r="Q264" s="1301"/>
      <c r="R264" s="1302"/>
      <c r="S264" s="1375">
        <f t="shared" ref="S264:S267" si="284">SUM(P264:R264)</f>
        <v>18000</v>
      </c>
      <c r="T264" s="1652">
        <v>16000</v>
      </c>
      <c r="U264" s="1301"/>
      <c r="V264" s="1302"/>
      <c r="W264" s="1375">
        <f t="shared" ref="W264:W274" si="285">SUM(T264:V264)</f>
        <v>16000</v>
      </c>
      <c r="X264" s="1578">
        <f t="shared" ref="X264:X327" si="286">W264/O264*100</f>
        <v>114.28571428571428</v>
      </c>
      <c r="Y264" s="2457"/>
      <c r="Z264" s="1136"/>
      <c r="AA264" s="1136"/>
      <c r="AB264" s="1293">
        <f t="shared" si="277"/>
        <v>0</v>
      </c>
      <c r="AC264" s="1293">
        <f t="shared" si="281"/>
        <v>0</v>
      </c>
      <c r="AD264" s="1293"/>
      <c r="AE264" s="1293">
        <f t="shared" si="279"/>
        <v>0</v>
      </c>
      <c r="AF264" s="1294"/>
      <c r="AG264" s="1294"/>
      <c r="AH264" s="1294">
        <f t="shared" si="282"/>
        <v>2000</v>
      </c>
      <c r="AI264" s="1294">
        <f t="shared" si="258"/>
        <v>0</v>
      </c>
      <c r="AJ264" s="1293">
        <f t="shared" ref="AJ264:AJ327" si="287">T264+U264+V264-W264</f>
        <v>0</v>
      </c>
      <c r="AK264" s="1294">
        <f t="shared" si="266"/>
        <v>0</v>
      </c>
      <c r="AL264" s="1294"/>
      <c r="AM264" s="1294"/>
      <c r="AN264" s="1294"/>
      <c r="AO264" s="1294"/>
      <c r="AP264" s="1294"/>
      <c r="AQ264" s="1294"/>
      <c r="AR264" s="1294">
        <f t="shared" si="259"/>
        <v>0</v>
      </c>
      <c r="AS264" s="1136"/>
      <c r="AT264" s="668">
        <f t="shared" si="260"/>
        <v>0</v>
      </c>
      <c r="AU264" s="463"/>
      <c r="AV264" s="468">
        <f t="shared" si="267"/>
        <v>0</v>
      </c>
      <c r="AW264" s="468">
        <f t="shared" si="261"/>
        <v>16000</v>
      </c>
      <c r="AX264" s="272"/>
      <c r="AY264" s="272"/>
      <c r="AZ264" s="272"/>
      <c r="BA264" s="272"/>
      <c r="BB264" s="272"/>
      <c r="BC264" s="437">
        <f>T264+U264+V264+-W264</f>
        <v>0</v>
      </c>
      <c r="BD264" s="437">
        <f t="shared" si="268"/>
        <v>-16000</v>
      </c>
      <c r="BE264">
        <f t="shared" si="263"/>
        <v>111.11111111111111</v>
      </c>
      <c r="BF264" s="437">
        <f t="shared" si="264"/>
        <v>-3.1746031746031633</v>
      </c>
    </row>
    <row r="265" spans="1:59" ht="39" customHeight="1">
      <c r="A265" s="1572"/>
      <c r="B265" s="1573"/>
      <c r="C265" s="1573"/>
      <c r="D265" s="1373">
        <v>111</v>
      </c>
      <c r="E265" s="1574"/>
      <c r="F265" s="1796">
        <v>613300</v>
      </c>
      <c r="G265" s="1838" t="s">
        <v>262</v>
      </c>
      <c r="H265" s="1651">
        <v>17000</v>
      </c>
      <c r="I265" s="1575"/>
      <c r="J265" s="1575"/>
      <c r="K265" s="1374">
        <f>SUM(H265:J265)</f>
        <v>17000</v>
      </c>
      <c r="L265" s="1652">
        <v>18000</v>
      </c>
      <c r="M265" s="1301"/>
      <c r="N265" s="1302"/>
      <c r="O265" s="1375">
        <f t="shared" si="283"/>
        <v>18000</v>
      </c>
      <c r="P265" s="1652">
        <v>22000</v>
      </c>
      <c r="Q265" s="1301"/>
      <c r="R265" s="1302"/>
      <c r="S265" s="1375">
        <f t="shared" si="284"/>
        <v>22000</v>
      </c>
      <c r="T265" s="1652">
        <v>20000</v>
      </c>
      <c r="U265" s="1301"/>
      <c r="V265" s="1302"/>
      <c r="W265" s="1375">
        <f t="shared" si="285"/>
        <v>20000</v>
      </c>
      <c r="X265" s="1578">
        <f t="shared" si="286"/>
        <v>111.11111111111111</v>
      </c>
      <c r="Y265" s="2457"/>
      <c r="Z265" s="1136"/>
      <c r="AA265" s="1136"/>
      <c r="AB265" s="1293">
        <f t="shared" si="277"/>
        <v>0</v>
      </c>
      <c r="AC265" s="1293">
        <f t="shared" si="281"/>
        <v>0</v>
      </c>
      <c r="AD265" s="1293"/>
      <c r="AE265" s="1293">
        <f t="shared" si="279"/>
        <v>0</v>
      </c>
      <c r="AF265" s="1294"/>
      <c r="AG265" s="1294"/>
      <c r="AH265" s="1294">
        <f t="shared" si="282"/>
        <v>2000</v>
      </c>
      <c r="AI265" s="1294">
        <f t="shared" si="258"/>
        <v>0</v>
      </c>
      <c r="AJ265" s="1293">
        <f t="shared" si="287"/>
        <v>0</v>
      </c>
      <c r="AK265" s="1294">
        <f t="shared" si="266"/>
        <v>0</v>
      </c>
      <c r="AL265" s="1294"/>
      <c r="AM265" s="1294"/>
      <c r="AN265" s="1294"/>
      <c r="AO265" s="1294"/>
      <c r="AP265" s="1294"/>
      <c r="AQ265" s="1294"/>
      <c r="AR265" s="1294">
        <f t="shared" si="259"/>
        <v>0</v>
      </c>
      <c r="AS265" s="1136"/>
      <c r="AT265" s="668">
        <f t="shared" si="260"/>
        <v>0</v>
      </c>
      <c r="AU265" s="463"/>
      <c r="AV265" s="468">
        <f t="shared" si="267"/>
        <v>0</v>
      </c>
      <c r="AW265" s="468">
        <f t="shared" si="261"/>
        <v>20000</v>
      </c>
      <c r="AX265" s="272"/>
      <c r="AY265" s="272"/>
      <c r="AZ265" s="272"/>
      <c r="BA265" s="272"/>
      <c r="BB265" s="272"/>
      <c r="BC265" s="437">
        <f>T265+U265+V265+-W265</f>
        <v>0</v>
      </c>
      <c r="BD265" s="437">
        <f t="shared" si="268"/>
        <v>-20000</v>
      </c>
      <c r="BE265">
        <f t="shared" si="263"/>
        <v>100</v>
      </c>
      <c r="BF265" s="437">
        <f t="shared" si="264"/>
        <v>-11.111111111111114</v>
      </c>
    </row>
    <row r="266" spans="1:59" ht="39" customHeight="1">
      <c r="A266" s="1572"/>
      <c r="B266" s="1573"/>
      <c r="C266" s="1573"/>
      <c r="D266" s="1373">
        <v>111</v>
      </c>
      <c r="E266" s="1574"/>
      <c r="F266" s="1796">
        <v>613400</v>
      </c>
      <c r="G266" s="1838" t="s">
        <v>246</v>
      </c>
      <c r="H266" s="1654">
        <v>14000</v>
      </c>
      <c r="I266" s="1575"/>
      <c r="J266" s="1575"/>
      <c r="K266" s="1374">
        <f>SUM(H266:J266)</f>
        <v>14000</v>
      </c>
      <c r="L266" s="1655">
        <v>21000</v>
      </c>
      <c r="M266" s="1301"/>
      <c r="N266" s="1302"/>
      <c r="O266" s="1375">
        <f>SUM(L266:N266)</f>
        <v>21000</v>
      </c>
      <c r="P266" s="1655">
        <v>22000</v>
      </c>
      <c r="Q266" s="1301"/>
      <c r="R266" s="1302"/>
      <c r="S266" s="1375">
        <f t="shared" si="284"/>
        <v>22000</v>
      </c>
      <c r="T266" s="1655">
        <v>21000</v>
      </c>
      <c r="U266" s="1301"/>
      <c r="V266" s="1302"/>
      <c r="W266" s="1375">
        <f t="shared" si="285"/>
        <v>21000</v>
      </c>
      <c r="X266" s="1578">
        <f t="shared" si="286"/>
        <v>100</v>
      </c>
      <c r="Y266" s="2457"/>
      <c r="Z266" s="1136"/>
      <c r="AA266" s="1136"/>
      <c r="AB266" s="1293">
        <f t="shared" si="277"/>
        <v>0</v>
      </c>
      <c r="AC266" s="1293">
        <f t="shared" si="281"/>
        <v>0</v>
      </c>
      <c r="AD266" s="1293"/>
      <c r="AE266" s="1293">
        <f t="shared" si="279"/>
        <v>0</v>
      </c>
      <c r="AF266" s="1294"/>
      <c r="AG266" s="1294"/>
      <c r="AH266" s="1294">
        <f t="shared" si="282"/>
        <v>0</v>
      </c>
      <c r="AI266" s="1294">
        <f t="shared" ref="AI266:AI279" si="288">T266+U266+V266-W266</f>
        <v>0</v>
      </c>
      <c r="AJ266" s="1293">
        <f t="shared" si="287"/>
        <v>0</v>
      </c>
      <c r="AK266" s="1294">
        <f t="shared" si="266"/>
        <v>0</v>
      </c>
      <c r="AL266" s="1294"/>
      <c r="AM266" s="1294"/>
      <c r="AN266" s="1294"/>
      <c r="AO266" s="1294"/>
      <c r="AP266" s="1294"/>
      <c r="AQ266" s="1294"/>
      <c r="AR266" s="1294">
        <f t="shared" si="259"/>
        <v>0</v>
      </c>
      <c r="AS266" s="1136"/>
      <c r="AT266" s="668">
        <f t="shared" si="260"/>
        <v>0</v>
      </c>
      <c r="AU266" s="463"/>
      <c r="AV266" s="468">
        <f t="shared" si="267"/>
        <v>0</v>
      </c>
      <c r="AW266" s="468">
        <f t="shared" si="261"/>
        <v>21000</v>
      </c>
      <c r="AX266" s="272"/>
      <c r="AY266" s="272"/>
      <c r="AZ266" s="272"/>
      <c r="BA266" s="272"/>
      <c r="BB266" s="272"/>
      <c r="BC266" s="437">
        <f>T266+U266+V266+-W266</f>
        <v>0</v>
      </c>
      <c r="BD266" s="437">
        <f t="shared" si="268"/>
        <v>-21000</v>
      </c>
      <c r="BE266">
        <f t="shared" si="263"/>
        <v>133.33333333333331</v>
      </c>
      <c r="BF266" s="437">
        <f t="shared" si="264"/>
        <v>33.333333333333314</v>
      </c>
    </row>
    <row r="267" spans="1:59" ht="39" customHeight="1">
      <c r="A267" s="1572"/>
      <c r="B267" s="1573"/>
      <c r="C267" s="1573"/>
      <c r="D267" s="1373">
        <v>111</v>
      </c>
      <c r="E267" s="1574"/>
      <c r="F267" s="1796">
        <v>613500</v>
      </c>
      <c r="G267" s="1837" t="s">
        <v>677</v>
      </c>
      <c r="H267" s="1654">
        <v>5500</v>
      </c>
      <c r="I267" s="1575"/>
      <c r="J267" s="1575"/>
      <c r="K267" s="1374">
        <f>SUM(H267:J267)</f>
        <v>5500</v>
      </c>
      <c r="L267" s="1655">
        <v>6000</v>
      </c>
      <c r="M267" s="1301"/>
      <c r="N267" s="1302"/>
      <c r="O267" s="1375">
        <f t="shared" si="283"/>
        <v>6000</v>
      </c>
      <c r="P267" s="1655">
        <v>8000</v>
      </c>
      <c r="Q267" s="1301"/>
      <c r="R267" s="1302"/>
      <c r="S267" s="1375">
        <f t="shared" si="284"/>
        <v>8000</v>
      </c>
      <c r="T267" s="1655">
        <v>8000</v>
      </c>
      <c r="U267" s="1301"/>
      <c r="V267" s="1302"/>
      <c r="W267" s="1375">
        <f t="shared" si="285"/>
        <v>8000</v>
      </c>
      <c r="X267" s="1578">
        <f t="shared" si="286"/>
        <v>133.33333333333331</v>
      </c>
      <c r="Y267" s="2457"/>
      <c r="Z267" s="1136"/>
      <c r="AA267" s="1136"/>
      <c r="AB267" s="1293">
        <f t="shared" si="277"/>
        <v>0</v>
      </c>
      <c r="AC267" s="1293">
        <f t="shared" si="281"/>
        <v>0</v>
      </c>
      <c r="AD267" s="1293"/>
      <c r="AE267" s="1293">
        <f t="shared" si="279"/>
        <v>0</v>
      </c>
      <c r="AF267" s="1294"/>
      <c r="AG267" s="1294"/>
      <c r="AH267" s="1294">
        <f t="shared" si="282"/>
        <v>2000</v>
      </c>
      <c r="AI267" s="1294">
        <f t="shared" si="288"/>
        <v>0</v>
      </c>
      <c r="AJ267" s="1293">
        <f t="shared" si="287"/>
        <v>0</v>
      </c>
      <c r="AK267" s="1294">
        <f t="shared" si="266"/>
        <v>0</v>
      </c>
      <c r="AL267" s="1294"/>
      <c r="AM267" s="1294"/>
      <c r="AN267" s="1294"/>
      <c r="AO267" s="1294"/>
      <c r="AP267" s="1294"/>
      <c r="AQ267" s="1294"/>
      <c r="AR267" s="1294">
        <f t="shared" si="259"/>
        <v>0</v>
      </c>
      <c r="AS267" s="1136"/>
      <c r="AT267" s="668">
        <f t="shared" si="260"/>
        <v>0</v>
      </c>
      <c r="AU267" s="463"/>
      <c r="AV267" s="468">
        <f t="shared" si="267"/>
        <v>0</v>
      </c>
      <c r="AW267" s="468">
        <f t="shared" si="261"/>
        <v>8000</v>
      </c>
      <c r="AX267" s="272"/>
      <c r="AY267" s="272"/>
      <c r="AZ267" s="272"/>
      <c r="BA267" s="272"/>
      <c r="BB267" s="272"/>
      <c r="BC267" s="437">
        <f>T267+U267+V267+-W267</f>
        <v>0</v>
      </c>
      <c r="BD267" s="437">
        <f t="shared" si="268"/>
        <v>-8000</v>
      </c>
      <c r="BE267">
        <f t="shared" si="263"/>
        <v>133.61344537815125</v>
      </c>
      <c r="BF267" s="437">
        <f t="shared" si="264"/>
        <v>0.28011204481794039</v>
      </c>
    </row>
    <row r="268" spans="1:59" ht="39" customHeight="1">
      <c r="A268" s="1572"/>
      <c r="B268" s="1573"/>
      <c r="C268" s="1573"/>
      <c r="D268" s="1373">
        <v>111</v>
      </c>
      <c r="E268" s="1373" t="s">
        <v>206</v>
      </c>
      <c r="F268" s="1795">
        <v>613900</v>
      </c>
      <c r="G268" s="1836" t="s">
        <v>180</v>
      </c>
      <c r="H268" s="1380">
        <f t="shared" ref="H268:O268" si="289">SUM(H269:H274)</f>
        <v>7900</v>
      </c>
      <c r="I268" s="1380">
        <f t="shared" si="289"/>
        <v>0</v>
      </c>
      <c r="J268" s="1380">
        <f t="shared" si="289"/>
        <v>0</v>
      </c>
      <c r="K268" s="1381">
        <f t="shared" si="289"/>
        <v>7900</v>
      </c>
      <c r="L268" s="1601">
        <f t="shared" si="289"/>
        <v>11900</v>
      </c>
      <c r="M268" s="1303">
        <f t="shared" si="289"/>
        <v>0</v>
      </c>
      <c r="N268" s="1304">
        <f t="shared" si="289"/>
        <v>0</v>
      </c>
      <c r="O268" s="1336">
        <f t="shared" si="289"/>
        <v>11900</v>
      </c>
      <c r="P268" s="1601">
        <f>SUM(P269:P274)</f>
        <v>15900</v>
      </c>
      <c r="Q268" s="1303"/>
      <c r="R268" s="1304"/>
      <c r="S268" s="1336">
        <f>SUM(S269:S274)</f>
        <v>15900</v>
      </c>
      <c r="T268" s="1601">
        <f>SUM(T269:T274)</f>
        <v>15900</v>
      </c>
      <c r="U268" s="1303"/>
      <c r="V268" s="1304"/>
      <c r="W268" s="1316">
        <f>SUM(W269:W274)</f>
        <v>15900</v>
      </c>
      <c r="X268" s="1578">
        <f t="shared" si="286"/>
        <v>133.61344537815125</v>
      </c>
      <c r="Y268" s="2457">
        <f>'[1]PRIH REBALANS'!$AK$606</f>
        <v>15900</v>
      </c>
      <c r="Z268" s="1136"/>
      <c r="AA268" s="1136">
        <f>'[9]PRIH REBALANS'!$AK$606</f>
        <v>15900</v>
      </c>
      <c r="AB268" s="1293">
        <f t="shared" si="277"/>
        <v>0</v>
      </c>
      <c r="AC268" s="1293">
        <f t="shared" si="281"/>
        <v>0</v>
      </c>
      <c r="AD268" s="1293"/>
      <c r="AE268" s="1293">
        <f t="shared" si="279"/>
        <v>0</v>
      </c>
      <c r="AF268" s="1294"/>
      <c r="AG268" s="1294"/>
      <c r="AH268" s="1294">
        <f t="shared" si="282"/>
        <v>4000</v>
      </c>
      <c r="AI268" s="1294">
        <f t="shared" si="288"/>
        <v>0</v>
      </c>
      <c r="AJ268" s="1293">
        <f t="shared" si="287"/>
        <v>0</v>
      </c>
      <c r="AK268" s="1294">
        <f t="shared" si="266"/>
        <v>0</v>
      </c>
      <c r="AL268" s="1294"/>
      <c r="AM268" s="1294"/>
      <c r="AN268" s="1294"/>
      <c r="AO268" s="1294"/>
      <c r="AP268" s="1294"/>
      <c r="AQ268" s="1294"/>
      <c r="AR268" s="1294">
        <f t="shared" si="259"/>
        <v>0</v>
      </c>
      <c r="AS268" s="1136">
        <f>SUM(W269:W274)</f>
        <v>15900</v>
      </c>
      <c r="AT268" s="668">
        <f t="shared" si="260"/>
        <v>0</v>
      </c>
      <c r="AU268" s="463">
        <f>SUM(W269:W274)</f>
        <v>15900</v>
      </c>
      <c r="AV268" s="468">
        <f t="shared" si="267"/>
        <v>0</v>
      </c>
      <c r="AW268" s="468">
        <f t="shared" si="261"/>
        <v>15900</v>
      </c>
      <c r="AX268" s="463"/>
      <c r="AY268" s="463"/>
      <c r="AZ268" s="463"/>
      <c r="BA268" s="463"/>
      <c r="BB268" s="463"/>
      <c r="BC268" s="437">
        <f>'[2]PRIH REBALANS'!$AK$625</f>
        <v>11900</v>
      </c>
      <c r="BD268" s="437">
        <f t="shared" si="268"/>
        <v>-4000</v>
      </c>
      <c r="BE268">
        <f t="shared" si="263"/>
        <v>150</v>
      </c>
      <c r="BF268" s="437">
        <f t="shared" si="264"/>
        <v>16.386554621848745</v>
      </c>
      <c r="BG268" s="209">
        <f>SUM(W269:W274)</f>
        <v>15900</v>
      </c>
    </row>
    <row r="269" spans="1:59" ht="39" customHeight="1">
      <c r="A269" s="1572"/>
      <c r="B269" s="1573"/>
      <c r="C269" s="1573"/>
      <c r="D269" s="1373">
        <v>111</v>
      </c>
      <c r="E269" s="1574"/>
      <c r="F269" s="1796">
        <v>613914</v>
      </c>
      <c r="G269" s="1838" t="s">
        <v>224</v>
      </c>
      <c r="H269" s="1651">
        <v>1000</v>
      </c>
      <c r="I269" s="1575"/>
      <c r="J269" s="1575"/>
      <c r="K269" s="1374">
        <f t="shared" ref="K269:K274" si="290">SUM(H269:J269)</f>
        <v>1000</v>
      </c>
      <c r="L269" s="1652">
        <v>2000</v>
      </c>
      <c r="M269" s="1301"/>
      <c r="N269" s="1302"/>
      <c r="O269" s="1375">
        <f>SUM(L269:N269)</f>
        <v>2000</v>
      </c>
      <c r="P269" s="1652">
        <v>3000</v>
      </c>
      <c r="Q269" s="1301"/>
      <c r="R269" s="1302"/>
      <c r="S269" s="1375">
        <f>SUM(P269:R269)</f>
        <v>3000</v>
      </c>
      <c r="T269" s="1652">
        <v>3000</v>
      </c>
      <c r="U269" s="1301"/>
      <c r="V269" s="1302"/>
      <c r="W269" s="1375">
        <f>SUM(T269:V269)</f>
        <v>3000</v>
      </c>
      <c r="X269" s="1578">
        <f t="shared" si="286"/>
        <v>150</v>
      </c>
      <c r="Y269" s="2457"/>
      <c r="Z269" s="1136"/>
      <c r="AA269" s="1136"/>
      <c r="AB269" s="1293">
        <f t="shared" si="277"/>
        <v>0</v>
      </c>
      <c r="AC269" s="1293">
        <f t="shared" si="281"/>
        <v>0</v>
      </c>
      <c r="AD269" s="1293"/>
      <c r="AE269" s="1293">
        <f t="shared" si="279"/>
        <v>0</v>
      </c>
      <c r="AF269" s="1294"/>
      <c r="AG269" s="1294"/>
      <c r="AH269" s="1294">
        <f t="shared" si="282"/>
        <v>1000</v>
      </c>
      <c r="AI269" s="1294">
        <f t="shared" si="288"/>
        <v>0</v>
      </c>
      <c r="AJ269" s="1293">
        <f t="shared" si="287"/>
        <v>0</v>
      </c>
      <c r="AK269" s="1294">
        <f t="shared" si="266"/>
        <v>0</v>
      </c>
      <c r="AL269" s="1294"/>
      <c r="AM269" s="1294"/>
      <c r="AN269" s="1294"/>
      <c r="AO269" s="1294"/>
      <c r="AP269" s="1294"/>
      <c r="AQ269" s="1294"/>
      <c r="AR269" s="1294">
        <f t="shared" si="259"/>
        <v>0</v>
      </c>
      <c r="AS269" s="1136"/>
      <c r="AT269" s="668">
        <f t="shared" si="260"/>
        <v>0</v>
      </c>
      <c r="AU269" s="463"/>
      <c r="AV269" s="468">
        <f t="shared" si="267"/>
        <v>0</v>
      </c>
      <c r="AW269" s="468">
        <f t="shared" si="261"/>
        <v>3000</v>
      </c>
      <c r="AX269" s="272"/>
      <c r="AY269" s="272"/>
      <c r="AZ269" s="272"/>
      <c r="BA269" s="272"/>
      <c r="BB269" s="272"/>
      <c r="BC269" s="437">
        <f t="shared" ref="BC269:BC274" si="291">T269+U269+V269+-W269</f>
        <v>0</v>
      </c>
      <c r="BD269" s="437">
        <f t="shared" si="268"/>
        <v>-3000</v>
      </c>
      <c r="BE269">
        <f t="shared" si="263"/>
        <v>100</v>
      </c>
      <c r="BF269" s="437">
        <f t="shared" si="264"/>
        <v>-50</v>
      </c>
    </row>
    <row r="270" spans="1:59" ht="39" customHeight="1">
      <c r="A270" s="1572"/>
      <c r="B270" s="1573"/>
      <c r="C270" s="1573"/>
      <c r="D270" s="1373">
        <v>111</v>
      </c>
      <c r="E270" s="1574"/>
      <c r="F270" s="1796">
        <v>613920</v>
      </c>
      <c r="G270" s="1838" t="s">
        <v>568</v>
      </c>
      <c r="H270" s="1651">
        <v>1000</v>
      </c>
      <c r="I270" s="1575"/>
      <c r="J270" s="1575"/>
      <c r="K270" s="1374">
        <f t="shared" si="290"/>
        <v>1000</v>
      </c>
      <c r="L270" s="1652">
        <v>1000</v>
      </c>
      <c r="M270" s="1301"/>
      <c r="N270" s="1302"/>
      <c r="O270" s="1375">
        <f t="shared" ref="O270:O274" si="292">SUM(L270:N270)</f>
        <v>1000</v>
      </c>
      <c r="P270" s="1652">
        <v>1000</v>
      </c>
      <c r="Q270" s="1301"/>
      <c r="R270" s="1302"/>
      <c r="S270" s="1375">
        <f t="shared" ref="S270:S275" si="293">SUM(P270:R270)</f>
        <v>1000</v>
      </c>
      <c r="T270" s="1652">
        <v>1000</v>
      </c>
      <c r="U270" s="1301"/>
      <c r="V270" s="1302"/>
      <c r="W270" s="1375">
        <f t="shared" si="285"/>
        <v>1000</v>
      </c>
      <c r="X270" s="1578">
        <f t="shared" si="286"/>
        <v>100</v>
      </c>
      <c r="Y270" s="2457"/>
      <c r="Z270" s="1136"/>
      <c r="AA270" s="1136"/>
      <c r="AB270" s="1293">
        <f t="shared" si="277"/>
        <v>0</v>
      </c>
      <c r="AC270" s="1293">
        <f t="shared" si="281"/>
        <v>0</v>
      </c>
      <c r="AD270" s="1293"/>
      <c r="AE270" s="1293">
        <f t="shared" si="279"/>
        <v>0</v>
      </c>
      <c r="AF270" s="1294"/>
      <c r="AG270" s="1294"/>
      <c r="AH270" s="1294">
        <f t="shared" si="282"/>
        <v>0</v>
      </c>
      <c r="AI270" s="1294">
        <f t="shared" si="288"/>
        <v>0</v>
      </c>
      <c r="AJ270" s="1293">
        <f t="shared" si="287"/>
        <v>0</v>
      </c>
      <c r="AK270" s="1294">
        <f t="shared" si="266"/>
        <v>0</v>
      </c>
      <c r="AL270" s="1294"/>
      <c r="AM270" s="1294"/>
      <c r="AN270" s="1294"/>
      <c r="AO270" s="1294"/>
      <c r="AP270" s="1294"/>
      <c r="AQ270" s="1294"/>
      <c r="AR270" s="1294">
        <f t="shared" si="259"/>
        <v>0</v>
      </c>
      <c r="AS270" s="1136"/>
      <c r="AT270" s="668">
        <f t="shared" si="260"/>
        <v>0</v>
      </c>
      <c r="AU270" s="463"/>
      <c r="AV270" s="468">
        <f t="shared" si="267"/>
        <v>0</v>
      </c>
      <c r="AW270" s="468">
        <f t="shared" si="261"/>
        <v>1000</v>
      </c>
      <c r="AX270" s="272"/>
      <c r="AY270" s="272"/>
      <c r="AZ270" s="272"/>
      <c r="BA270" s="272"/>
      <c r="BB270" s="272"/>
      <c r="BC270" s="437">
        <f t="shared" si="291"/>
        <v>0</v>
      </c>
      <c r="BD270" s="437">
        <f t="shared" si="268"/>
        <v>-1000</v>
      </c>
      <c r="BE270">
        <f t="shared" si="263"/>
        <v>100</v>
      </c>
      <c r="BF270" s="437">
        <f t="shared" si="264"/>
        <v>0</v>
      </c>
    </row>
    <row r="271" spans="1:59" ht="39" customHeight="1">
      <c r="A271" s="1572"/>
      <c r="B271" s="1573"/>
      <c r="C271" s="1573"/>
      <c r="D271" s="1373">
        <v>111</v>
      </c>
      <c r="E271" s="1574"/>
      <c r="F271" s="1796">
        <v>613934</v>
      </c>
      <c r="G271" s="1838" t="s">
        <v>263</v>
      </c>
      <c r="H271" s="1651">
        <v>0</v>
      </c>
      <c r="I271" s="1575"/>
      <c r="J271" s="1575"/>
      <c r="K271" s="1374">
        <f t="shared" si="290"/>
        <v>0</v>
      </c>
      <c r="L271" s="1652">
        <v>1000</v>
      </c>
      <c r="M271" s="1301"/>
      <c r="N271" s="1302"/>
      <c r="O271" s="1375">
        <f t="shared" si="292"/>
        <v>1000</v>
      </c>
      <c r="P271" s="1652">
        <v>1000</v>
      </c>
      <c r="Q271" s="1301"/>
      <c r="R271" s="1302"/>
      <c r="S271" s="1375">
        <f t="shared" si="293"/>
        <v>1000</v>
      </c>
      <c r="T271" s="1652">
        <v>1000</v>
      </c>
      <c r="U271" s="1301"/>
      <c r="V271" s="1302"/>
      <c r="W271" s="1375">
        <f t="shared" si="285"/>
        <v>1000</v>
      </c>
      <c r="X271" s="1578">
        <f t="shared" si="286"/>
        <v>100</v>
      </c>
      <c r="Y271" s="2457"/>
      <c r="Z271" s="1136"/>
      <c r="AA271" s="1136"/>
      <c r="AB271" s="1293">
        <f t="shared" si="277"/>
        <v>0</v>
      </c>
      <c r="AC271" s="1293">
        <f t="shared" si="281"/>
        <v>0</v>
      </c>
      <c r="AD271" s="1293"/>
      <c r="AE271" s="1293">
        <f t="shared" si="279"/>
        <v>0</v>
      </c>
      <c r="AF271" s="1294"/>
      <c r="AG271" s="1294"/>
      <c r="AH271" s="1294">
        <f t="shared" si="282"/>
        <v>0</v>
      </c>
      <c r="AI271" s="1294">
        <f t="shared" si="288"/>
        <v>0</v>
      </c>
      <c r="AJ271" s="1293">
        <f t="shared" si="287"/>
        <v>0</v>
      </c>
      <c r="AK271" s="1294">
        <f t="shared" si="266"/>
        <v>0</v>
      </c>
      <c r="AL271" s="1294"/>
      <c r="AM271" s="1294"/>
      <c r="AN271" s="1294"/>
      <c r="AO271" s="1294"/>
      <c r="AP271" s="1294"/>
      <c r="AQ271" s="1294"/>
      <c r="AR271" s="1294">
        <f t="shared" si="259"/>
        <v>0</v>
      </c>
      <c r="AS271" s="1136"/>
      <c r="AT271" s="668">
        <f t="shared" si="260"/>
        <v>0</v>
      </c>
      <c r="AU271" s="463"/>
      <c r="AV271" s="468">
        <f t="shared" si="267"/>
        <v>0</v>
      </c>
      <c r="AW271" s="468">
        <f t="shared" si="261"/>
        <v>1000</v>
      </c>
      <c r="AX271" s="272"/>
      <c r="AY271" s="272"/>
      <c r="AZ271" s="272"/>
      <c r="BA271" s="272"/>
      <c r="BB271" s="272"/>
      <c r="BC271" s="437">
        <f t="shared" si="291"/>
        <v>0</v>
      </c>
      <c r="BD271" s="437">
        <f t="shared" si="268"/>
        <v>-1000</v>
      </c>
      <c r="BE271">
        <f t="shared" si="263"/>
        <v>100</v>
      </c>
      <c r="BF271" s="437">
        <f t="shared" si="264"/>
        <v>0</v>
      </c>
    </row>
    <row r="272" spans="1:59" ht="39" customHeight="1">
      <c r="A272" s="1572"/>
      <c r="B272" s="1573"/>
      <c r="C272" s="1573"/>
      <c r="D272" s="1373">
        <v>111</v>
      </c>
      <c r="E272" s="1373"/>
      <c r="F272" s="1796">
        <v>613983</v>
      </c>
      <c r="G272" s="1838" t="s">
        <v>705</v>
      </c>
      <c r="H272" s="1651">
        <v>3900</v>
      </c>
      <c r="I272" s="1575"/>
      <c r="J272" s="1575"/>
      <c r="K272" s="1374">
        <f t="shared" si="290"/>
        <v>3900</v>
      </c>
      <c r="L272" s="1652">
        <v>3900</v>
      </c>
      <c r="M272" s="1301"/>
      <c r="N272" s="1302"/>
      <c r="O272" s="1375">
        <f t="shared" si="292"/>
        <v>3900</v>
      </c>
      <c r="P272" s="1652">
        <v>3900</v>
      </c>
      <c r="Q272" s="1301"/>
      <c r="R272" s="1302"/>
      <c r="S272" s="1375">
        <f t="shared" si="293"/>
        <v>3900</v>
      </c>
      <c r="T272" s="1652">
        <v>3900</v>
      </c>
      <c r="U272" s="1301"/>
      <c r="V272" s="1302"/>
      <c r="W272" s="1375">
        <f t="shared" si="285"/>
        <v>3900</v>
      </c>
      <c r="X272" s="1578">
        <f t="shared" si="286"/>
        <v>100</v>
      </c>
      <c r="Y272" s="2457"/>
      <c r="Z272" s="1136"/>
      <c r="AA272" s="1136"/>
      <c r="AB272" s="1293">
        <f t="shared" si="277"/>
        <v>0</v>
      </c>
      <c r="AC272" s="1293">
        <f t="shared" si="281"/>
        <v>0</v>
      </c>
      <c r="AD272" s="1293"/>
      <c r="AE272" s="1293">
        <f t="shared" si="279"/>
        <v>0</v>
      </c>
      <c r="AF272" s="1294"/>
      <c r="AG272" s="1294"/>
      <c r="AH272" s="1294">
        <f t="shared" si="282"/>
        <v>0</v>
      </c>
      <c r="AI272" s="1294">
        <f t="shared" si="288"/>
        <v>0</v>
      </c>
      <c r="AJ272" s="1293">
        <f t="shared" si="287"/>
        <v>0</v>
      </c>
      <c r="AK272" s="1294">
        <f t="shared" si="266"/>
        <v>0</v>
      </c>
      <c r="AL272" s="1294"/>
      <c r="AM272" s="1294"/>
      <c r="AN272" s="1294"/>
      <c r="AO272" s="1294"/>
      <c r="AP272" s="1294"/>
      <c r="AQ272" s="1294"/>
      <c r="AR272" s="1294">
        <f t="shared" si="259"/>
        <v>0</v>
      </c>
      <c r="AS272" s="1136"/>
      <c r="AT272" s="668">
        <f t="shared" si="260"/>
        <v>0</v>
      </c>
      <c r="AU272" s="463"/>
      <c r="AV272" s="468">
        <f t="shared" si="267"/>
        <v>0</v>
      </c>
      <c r="AW272" s="468">
        <f t="shared" si="261"/>
        <v>3900</v>
      </c>
      <c r="AX272" s="272"/>
      <c r="AY272" s="272"/>
      <c r="AZ272" s="272"/>
      <c r="BA272" s="272"/>
      <c r="BB272" s="272"/>
      <c r="BC272" s="437">
        <f t="shared" si="291"/>
        <v>0</v>
      </c>
      <c r="BD272" s="437">
        <f t="shared" si="268"/>
        <v>-3900</v>
      </c>
      <c r="BE272">
        <f t="shared" si="263"/>
        <v>250</v>
      </c>
      <c r="BF272" s="437">
        <f t="shared" si="264"/>
        <v>150</v>
      </c>
    </row>
    <row r="273" spans="1:59" ht="39" customHeight="1">
      <c r="A273" s="1572"/>
      <c r="B273" s="1573"/>
      <c r="C273" s="1573"/>
      <c r="D273" s="1373">
        <v>111</v>
      </c>
      <c r="E273" s="1574"/>
      <c r="F273" s="1796">
        <v>613990</v>
      </c>
      <c r="G273" s="1838" t="s">
        <v>235</v>
      </c>
      <c r="H273" s="1651">
        <v>1000</v>
      </c>
      <c r="I273" s="1575"/>
      <c r="J273" s="1575"/>
      <c r="K273" s="1374">
        <f t="shared" si="290"/>
        <v>1000</v>
      </c>
      <c r="L273" s="1652">
        <v>2000</v>
      </c>
      <c r="M273" s="1301"/>
      <c r="N273" s="1302"/>
      <c r="O273" s="1375">
        <f t="shared" si="292"/>
        <v>2000</v>
      </c>
      <c r="P273" s="1652">
        <v>5000</v>
      </c>
      <c r="Q273" s="1301"/>
      <c r="R273" s="1302"/>
      <c r="S273" s="1375">
        <f t="shared" si="293"/>
        <v>5000</v>
      </c>
      <c r="T273" s="1652">
        <v>5000</v>
      </c>
      <c r="U273" s="1301"/>
      <c r="V273" s="1302"/>
      <c r="W273" s="1375">
        <f t="shared" si="285"/>
        <v>5000</v>
      </c>
      <c r="X273" s="1578">
        <f t="shared" si="286"/>
        <v>250</v>
      </c>
      <c r="Y273" s="2457"/>
      <c r="Z273" s="1136"/>
      <c r="AA273" s="1136"/>
      <c r="AB273" s="1293">
        <f t="shared" si="277"/>
        <v>0</v>
      </c>
      <c r="AC273" s="1293">
        <f t="shared" si="281"/>
        <v>0</v>
      </c>
      <c r="AD273" s="1293"/>
      <c r="AE273" s="1293">
        <f t="shared" si="279"/>
        <v>0</v>
      </c>
      <c r="AF273" s="1294"/>
      <c r="AG273" s="1294"/>
      <c r="AH273" s="1294">
        <f t="shared" si="282"/>
        <v>3000</v>
      </c>
      <c r="AI273" s="1294">
        <f t="shared" si="288"/>
        <v>0</v>
      </c>
      <c r="AJ273" s="1293">
        <f t="shared" si="287"/>
        <v>0</v>
      </c>
      <c r="AK273" s="1294">
        <f t="shared" si="266"/>
        <v>0</v>
      </c>
      <c r="AL273" s="1294"/>
      <c r="AM273" s="1294"/>
      <c r="AN273" s="1294"/>
      <c r="AO273" s="1294"/>
      <c r="AP273" s="1294"/>
      <c r="AQ273" s="1294"/>
      <c r="AR273" s="1294">
        <f t="shared" si="259"/>
        <v>0</v>
      </c>
      <c r="AS273" s="1136"/>
      <c r="AT273" s="668">
        <f t="shared" si="260"/>
        <v>0</v>
      </c>
      <c r="AU273" s="463"/>
      <c r="AV273" s="468">
        <f t="shared" si="267"/>
        <v>0</v>
      </c>
      <c r="AW273" s="468">
        <f t="shared" si="261"/>
        <v>5000</v>
      </c>
      <c r="AX273" s="272"/>
      <c r="AY273" s="272"/>
      <c r="AZ273" s="272"/>
      <c r="BA273" s="272"/>
      <c r="BB273" s="272"/>
      <c r="BC273" s="437">
        <f t="shared" si="291"/>
        <v>0</v>
      </c>
      <c r="BD273" s="437">
        <f t="shared" si="268"/>
        <v>-5000</v>
      </c>
      <c r="BE273">
        <f t="shared" si="263"/>
        <v>100</v>
      </c>
      <c r="BF273" s="437">
        <f t="shared" si="264"/>
        <v>-150</v>
      </c>
    </row>
    <row r="274" spans="1:59" ht="39" customHeight="1">
      <c r="A274" s="1572"/>
      <c r="B274" s="1573"/>
      <c r="C274" s="1573"/>
      <c r="D274" s="1373">
        <v>111</v>
      </c>
      <c r="E274" s="1574"/>
      <c r="F274" s="1796">
        <v>613990</v>
      </c>
      <c r="G274" s="1838" t="s">
        <v>318</v>
      </c>
      <c r="H274" s="1651">
        <v>1000</v>
      </c>
      <c r="I274" s="1575"/>
      <c r="J274" s="1575"/>
      <c r="K274" s="1374">
        <f t="shared" si="290"/>
        <v>1000</v>
      </c>
      <c r="L274" s="1652">
        <v>2000</v>
      </c>
      <c r="M274" s="1301"/>
      <c r="N274" s="1302"/>
      <c r="O274" s="1375">
        <f t="shared" si="292"/>
        <v>2000</v>
      </c>
      <c r="P274" s="1652">
        <v>2000</v>
      </c>
      <c r="Q274" s="1301"/>
      <c r="R274" s="1302"/>
      <c r="S274" s="1375">
        <f t="shared" si="293"/>
        <v>2000</v>
      </c>
      <c r="T274" s="1652">
        <v>2000</v>
      </c>
      <c r="U274" s="1301"/>
      <c r="V274" s="1302"/>
      <c r="W274" s="1375">
        <f t="shared" si="285"/>
        <v>2000</v>
      </c>
      <c r="X274" s="1578">
        <f t="shared" si="286"/>
        <v>100</v>
      </c>
      <c r="Y274" s="2457"/>
      <c r="Z274" s="1136"/>
      <c r="AA274" s="1136"/>
      <c r="AB274" s="1293">
        <f t="shared" si="277"/>
        <v>0</v>
      </c>
      <c r="AC274" s="1293">
        <f t="shared" si="281"/>
        <v>0</v>
      </c>
      <c r="AD274" s="1293"/>
      <c r="AE274" s="1293">
        <f t="shared" si="279"/>
        <v>0</v>
      </c>
      <c r="AF274" s="1294"/>
      <c r="AG274" s="1294"/>
      <c r="AH274" s="1294">
        <f t="shared" si="282"/>
        <v>0</v>
      </c>
      <c r="AI274" s="1294">
        <f t="shared" si="288"/>
        <v>0</v>
      </c>
      <c r="AJ274" s="1293">
        <f t="shared" si="287"/>
        <v>0</v>
      </c>
      <c r="AK274" s="1294">
        <f t="shared" si="266"/>
        <v>0</v>
      </c>
      <c r="AL274" s="1294"/>
      <c r="AM274" s="1294"/>
      <c r="AN274" s="1294"/>
      <c r="AO274" s="1294"/>
      <c r="AP274" s="1294"/>
      <c r="AQ274" s="1294"/>
      <c r="AR274" s="1294">
        <f t="shared" si="259"/>
        <v>0</v>
      </c>
      <c r="AS274" s="1136"/>
      <c r="AT274" s="668">
        <f t="shared" si="260"/>
        <v>0</v>
      </c>
      <c r="AU274" s="463"/>
      <c r="AV274" s="468">
        <f t="shared" si="267"/>
        <v>0</v>
      </c>
      <c r="AW274" s="468">
        <f t="shared" ref="AW274" si="294">W274-AV274</f>
        <v>2000</v>
      </c>
      <c r="AX274" s="272"/>
      <c r="AY274" s="272"/>
      <c r="AZ274" s="272"/>
      <c r="BA274" s="272"/>
      <c r="BB274" s="272"/>
      <c r="BC274" s="437">
        <f t="shared" si="291"/>
        <v>0</v>
      </c>
      <c r="BD274" s="437">
        <f t="shared" si="268"/>
        <v>-2000</v>
      </c>
      <c r="BE274" t="e">
        <f>#REF!/#REF!*100</f>
        <v>#REF!</v>
      </c>
      <c r="BF274" s="437" t="e">
        <f>BE274-#REF!</f>
        <v>#REF!</v>
      </c>
    </row>
    <row r="275" spans="1:59" s="495" customFormat="1" ht="39" customHeight="1">
      <c r="A275" s="1376"/>
      <c r="B275" s="1377"/>
      <c r="C275" s="1377"/>
      <c r="D275" s="1373"/>
      <c r="E275" s="1378"/>
      <c r="F275" s="1795"/>
      <c r="G275" s="1836" t="s">
        <v>1658</v>
      </c>
      <c r="H275" s="1379"/>
      <c r="I275" s="1380"/>
      <c r="J275" s="1380"/>
      <c r="K275" s="1381"/>
      <c r="L275" s="1656"/>
      <c r="M275" s="1303"/>
      <c r="N275" s="1304"/>
      <c r="O275" s="1336"/>
      <c r="P275" s="1656">
        <v>255000</v>
      </c>
      <c r="Q275" s="1303"/>
      <c r="R275" s="1304"/>
      <c r="S275" s="1336">
        <f t="shared" si="293"/>
        <v>255000</v>
      </c>
      <c r="T275" s="1656"/>
      <c r="U275" s="1303"/>
      <c r="V275" s="1304"/>
      <c r="W275" s="1336"/>
      <c r="X275" s="1578"/>
      <c r="Y275" s="2457"/>
      <c r="Z275" s="1136"/>
      <c r="AA275" s="1136"/>
      <c r="AB275" s="1293">
        <f t="shared" si="277"/>
        <v>0</v>
      </c>
      <c r="AC275" s="1293">
        <f t="shared" si="281"/>
        <v>0</v>
      </c>
      <c r="AD275" s="1293"/>
      <c r="AE275" s="1293">
        <f t="shared" si="279"/>
        <v>0</v>
      </c>
      <c r="AF275" s="1294"/>
      <c r="AG275" s="1294"/>
      <c r="AH275" s="1294">
        <f t="shared" si="282"/>
        <v>0</v>
      </c>
      <c r="AI275" s="1294">
        <f t="shared" si="288"/>
        <v>0</v>
      </c>
      <c r="AJ275" s="1293">
        <f t="shared" si="287"/>
        <v>0</v>
      </c>
      <c r="AK275" s="1294">
        <f t="shared" si="266"/>
        <v>0</v>
      </c>
      <c r="AL275" s="1294"/>
      <c r="AM275" s="1294"/>
      <c r="AN275" s="1294"/>
      <c r="AO275" s="1294"/>
      <c r="AP275" s="1294"/>
      <c r="AQ275" s="1294"/>
      <c r="AR275" s="1294"/>
      <c r="AS275" s="1136"/>
      <c r="AT275" s="668"/>
      <c r="AU275" s="463"/>
      <c r="AV275" s="469"/>
      <c r="AW275" s="469"/>
      <c r="AX275" s="463"/>
      <c r="AY275" s="463"/>
      <c r="AZ275" s="463"/>
      <c r="BA275" s="463"/>
      <c r="BB275" s="463"/>
      <c r="BC275" s="1382"/>
      <c r="BD275" s="1382"/>
      <c r="BF275" s="1382"/>
    </row>
    <row r="276" spans="1:59" ht="39" customHeight="1">
      <c r="A276" s="1594" t="s">
        <v>584</v>
      </c>
      <c r="B276" s="1595"/>
      <c r="C276" s="1595"/>
      <c r="D276" s="1657">
        <v>111</v>
      </c>
      <c r="E276" s="1657" t="s">
        <v>327</v>
      </c>
      <c r="F276" s="1815">
        <v>614000</v>
      </c>
      <c r="G276" s="1860" t="s">
        <v>328</v>
      </c>
      <c r="H276" s="1619" t="e">
        <f>SUM(H277,#REF!,#REF!,#REF!,#REF!,#REF!)</f>
        <v>#REF!</v>
      </c>
      <c r="I276" s="1619" t="e">
        <f>SUM(I277,#REF!,#REF!,)</f>
        <v>#REF!</v>
      </c>
      <c r="J276" s="1619" t="e">
        <f>SUM(J277,#REF!,#REF!,#REF!,#REF!)</f>
        <v>#REF!</v>
      </c>
      <c r="K276" s="1585" t="e">
        <f>SUM(K277,#REF!,#REF!)</f>
        <v>#REF!</v>
      </c>
      <c r="L276" s="1620">
        <f>SUM(L277:L279)</f>
        <v>3308800</v>
      </c>
      <c r="M276" s="1313"/>
      <c r="N276" s="1314">
        <f>SUM(N277:N279)</f>
        <v>269005</v>
      </c>
      <c r="O276" s="1335">
        <f>SUM(O277:O279)</f>
        <v>3577805</v>
      </c>
      <c r="P276" s="1620">
        <f>SUM(P277:P278)</f>
        <v>3474330</v>
      </c>
      <c r="Q276" s="1313"/>
      <c r="R276" s="1314">
        <f>SUM(R277:R278)</f>
        <v>200000</v>
      </c>
      <c r="S276" s="1335">
        <f>SUM(S277:S278)</f>
        <v>3674330</v>
      </c>
      <c r="T276" s="1620">
        <f>SUM(T277:T278)</f>
        <v>3071970</v>
      </c>
      <c r="U276" s="1313"/>
      <c r="V276" s="1314">
        <f>SUM(V277:V278)</f>
        <v>200000</v>
      </c>
      <c r="W276" s="1315">
        <f>SUM(W277:W278)</f>
        <v>3271970</v>
      </c>
      <c r="X276" s="1598">
        <f t="shared" si="286"/>
        <v>91.451881810216037</v>
      </c>
      <c r="Y276" s="758">
        <f>'[1]PRIH REBALANS'!$AK$613</f>
        <v>3271970</v>
      </c>
      <c r="Z276" s="1135"/>
      <c r="AA276" s="1135">
        <f>'[9]PRIH REBALANS'!$AK$613</f>
        <v>3271970</v>
      </c>
      <c r="AB276" s="1293">
        <f t="shared" si="277"/>
        <v>0</v>
      </c>
      <c r="AC276" s="1293">
        <f t="shared" si="281"/>
        <v>0</v>
      </c>
      <c r="AD276" s="1293">
        <f>'Služba za kulturu-Prilog br. 1'!P6</f>
        <v>3271970</v>
      </c>
      <c r="AE276" s="1293">
        <f t="shared" si="279"/>
        <v>0</v>
      </c>
      <c r="AF276" s="1293"/>
      <c r="AG276" s="1293"/>
      <c r="AH276" s="1294">
        <f t="shared" si="282"/>
        <v>-236830</v>
      </c>
      <c r="AI276" s="1294">
        <f t="shared" si="288"/>
        <v>0</v>
      </c>
      <c r="AJ276" s="1293">
        <f t="shared" si="287"/>
        <v>0</v>
      </c>
      <c r="AK276" s="1294">
        <f t="shared" si="266"/>
        <v>0</v>
      </c>
      <c r="AL276" s="1294"/>
      <c r="AM276" s="1294"/>
      <c r="AN276" s="1294"/>
      <c r="AO276" s="1294"/>
      <c r="AP276" s="1294"/>
      <c r="AQ276" s="1294"/>
      <c r="AR276" s="1294">
        <f t="shared" ref="AR276:AR307" si="295">T276+U276+V276-W276</f>
        <v>0</v>
      </c>
      <c r="AS276" s="1135">
        <f>SUM(W277:W279)</f>
        <v>3271970</v>
      </c>
      <c r="AT276" s="668">
        <f t="shared" ref="AT276:AT296" si="296">T276+U276+V276-W276</f>
        <v>0</v>
      </c>
      <c r="AU276" s="463">
        <f>SUM(W277:W279)</f>
        <v>3271970</v>
      </c>
      <c r="AV276" s="468">
        <f>'Služba za kulturu-Prilog br. 1'!H6</f>
        <v>3577805</v>
      </c>
      <c r="AW276" s="468">
        <f t="shared" ref="AW276:AW296" si="297">W276-AV276</f>
        <v>-305835</v>
      </c>
      <c r="AX276" s="668"/>
      <c r="AY276" s="668"/>
      <c r="AZ276" s="668"/>
      <c r="BA276" s="668"/>
      <c r="BB276" s="668"/>
      <c r="BC276" s="437">
        <f>'[2]PRIH REBALANS'!$AK$632</f>
        <v>3577803</v>
      </c>
      <c r="BD276" s="437">
        <f>BC276-W276</f>
        <v>305833</v>
      </c>
      <c r="BE276">
        <f>W277/O277*100</f>
        <v>82.456140350877192</v>
      </c>
      <c r="BF276" s="437">
        <f>BE276-X276</f>
        <v>-8.9957414593388449</v>
      </c>
      <c r="BG276" s="209">
        <f>SUM(W277:W279)</f>
        <v>3271970</v>
      </c>
    </row>
    <row r="277" spans="1:59" ht="39" customHeight="1">
      <c r="A277" s="1572"/>
      <c r="B277" s="1573"/>
      <c r="C277" s="1573"/>
      <c r="D277" s="1378" t="s">
        <v>339</v>
      </c>
      <c r="E277" s="1574"/>
      <c r="F277" s="1795">
        <v>614121</v>
      </c>
      <c r="G277" s="1836" t="s">
        <v>585</v>
      </c>
      <c r="H277" s="1380" t="e">
        <f>SUM(#REF!,#REF!)</f>
        <v>#REF!</v>
      </c>
      <c r="I277" s="1380" t="e">
        <f>SUM(#REF!,#REF!)</f>
        <v>#REF!</v>
      </c>
      <c r="J277" s="1380" t="e">
        <f>SUM(#REF!,#REF!)</f>
        <v>#REF!</v>
      </c>
      <c r="K277" s="1381" t="e">
        <f>SUM(#REF!)</f>
        <v>#REF!</v>
      </c>
      <c r="L277" s="1610">
        <v>245000</v>
      </c>
      <c r="M277" s="1333"/>
      <c r="N277" s="1334">
        <v>40000</v>
      </c>
      <c r="O277" s="1375">
        <f>SUM(L277+N277)</f>
        <v>285000</v>
      </c>
      <c r="P277" s="1610">
        <v>355000</v>
      </c>
      <c r="Q277" s="1333"/>
      <c r="R277" s="1334">
        <v>50000</v>
      </c>
      <c r="S277" s="1336">
        <f>SUM(P277+R277)</f>
        <v>405000</v>
      </c>
      <c r="T277" s="1610">
        <v>185000</v>
      </c>
      <c r="U277" s="1333"/>
      <c r="V277" s="1334">
        <f>'Služba za kulturu-Prilog br. 1'!O7</f>
        <v>50000</v>
      </c>
      <c r="W277" s="1375">
        <f>SUM(T277+V277)</f>
        <v>235000</v>
      </c>
      <c r="X277" s="1578">
        <f t="shared" si="286"/>
        <v>82.456140350877192</v>
      </c>
      <c r="Y277" s="2457">
        <f>'[1]PRIH REBALANS'!$AG$614</f>
        <v>185000</v>
      </c>
      <c r="Z277" s="1136">
        <f>'[1]PRIH REBALANS'!$AJ$614</f>
        <v>50000</v>
      </c>
      <c r="AA277" s="1136">
        <f>'Služba za kulturu-Prilog br. 1'!M7</f>
        <v>185000</v>
      </c>
      <c r="AB277" s="1293">
        <f t="shared" si="277"/>
        <v>0</v>
      </c>
      <c r="AC277" s="1293">
        <f t="shared" si="281"/>
        <v>0</v>
      </c>
      <c r="AD277" s="1293"/>
      <c r="AE277" s="1293">
        <f t="shared" si="279"/>
        <v>0</v>
      </c>
      <c r="AF277" s="1294"/>
      <c r="AG277" s="1294"/>
      <c r="AH277" s="1294">
        <f t="shared" si="282"/>
        <v>-60000</v>
      </c>
      <c r="AI277" s="1294">
        <f t="shared" si="288"/>
        <v>0</v>
      </c>
      <c r="AJ277" s="1293">
        <f t="shared" si="287"/>
        <v>0</v>
      </c>
      <c r="AK277" s="1294">
        <f t="shared" si="266"/>
        <v>0</v>
      </c>
      <c r="AL277" s="1294"/>
      <c r="AM277" s="1294"/>
      <c r="AN277" s="1294"/>
      <c r="AO277" s="1294"/>
      <c r="AP277" s="1294"/>
      <c r="AQ277" s="1294"/>
      <c r="AR277" s="1294">
        <f t="shared" si="295"/>
        <v>0</v>
      </c>
      <c r="AS277" s="1136"/>
      <c r="AT277" s="668">
        <f t="shared" si="296"/>
        <v>0</v>
      </c>
      <c r="AU277" s="674" t="s">
        <v>1559</v>
      </c>
      <c r="AV277" s="468">
        <f>'Služba za kulturu-Prilog br. 1'!G6</f>
        <v>269005</v>
      </c>
      <c r="AW277" s="468">
        <f t="shared" si="297"/>
        <v>-34005</v>
      </c>
      <c r="AX277" s="272"/>
      <c r="AY277" s="272"/>
      <c r="AZ277" s="272"/>
      <c r="BA277" s="272"/>
      <c r="BB277" s="272"/>
      <c r="BC277" s="437">
        <f>'[2]PRIH REBALANS'!$AG$633</f>
        <v>245000</v>
      </c>
      <c r="BD277" s="437">
        <f>'[2]PRIH REBALANS'!$AJ$633</f>
        <v>40000</v>
      </c>
      <c r="BE277">
        <f>W278/O278*100</f>
        <v>94.029661279336182</v>
      </c>
      <c r="BF277" s="437">
        <f>BE277-X277</f>
        <v>11.57352092845899</v>
      </c>
    </row>
    <row r="278" spans="1:59" ht="39" customHeight="1">
      <c r="A278" s="1572"/>
      <c r="B278" s="1573"/>
      <c r="C278" s="1573"/>
      <c r="D278" s="1378" t="s">
        <v>339</v>
      </c>
      <c r="E278" s="1574"/>
      <c r="F278" s="1795" t="s">
        <v>238</v>
      </c>
      <c r="G278" s="1836" t="s">
        <v>181</v>
      </c>
      <c r="H278" s="1380"/>
      <c r="I278" s="1380"/>
      <c r="J278" s="1380"/>
      <c r="K278" s="1381"/>
      <c r="L278" s="1610">
        <v>3063800</v>
      </c>
      <c r="M278" s="1333"/>
      <c r="N278" s="1334">
        <v>166000</v>
      </c>
      <c r="O278" s="1375">
        <f>SUM(L278+N278)</f>
        <v>3229800</v>
      </c>
      <c r="P278" s="1610">
        <v>3119330</v>
      </c>
      <c r="Q278" s="1333"/>
      <c r="R278" s="1334">
        <v>150000</v>
      </c>
      <c r="S278" s="1336">
        <f>SUM(P278+R278)</f>
        <v>3269330</v>
      </c>
      <c r="T278" s="1610">
        <f>'Služba za kulturu-Prilog br. 1'!M14+'Služba za kulturu-Prilog br. 1'!M19+'Služba za kulturu-Prilog br. 1'!M36+'Služba za kulturu-Prilog br. 1'!M32</f>
        <v>2886970</v>
      </c>
      <c r="U278" s="1333"/>
      <c r="V278" s="1334">
        <f>'Služba za kulturu-Prilog br. 1'!O16</f>
        <v>150000</v>
      </c>
      <c r="W278" s="1375">
        <f t="shared" ref="W278:W279" si="298">SUM(T278+V278)</f>
        <v>3036970</v>
      </c>
      <c r="X278" s="1578">
        <f t="shared" si="286"/>
        <v>94.029661279336182</v>
      </c>
      <c r="Y278" s="2457">
        <f>'[1]PRIH REBALANS'!$AG$624+'[1]PRIH REBALANS'!$AG$633+'[1]PRIH REBALANS'!$AG$646+'[1]PRIH REBALANS'!$AG$650</f>
        <v>2886970</v>
      </c>
      <c r="Z278" s="1136"/>
      <c r="AA278" s="1136">
        <f>'[9]PRIH REBALANS'!$AG$624+'[9]PRIH REBALANS'!$AG$633+'[9]PRIH REBALANS'!$AG$646+'[9]PRIH REBALANS'!$AG$650</f>
        <v>2886970</v>
      </c>
      <c r="AB278" s="1293">
        <f t="shared" si="277"/>
        <v>0</v>
      </c>
      <c r="AC278" s="1293">
        <f t="shared" si="281"/>
        <v>0</v>
      </c>
      <c r="AD278" s="1293"/>
      <c r="AE278" s="1293">
        <f t="shared" si="279"/>
        <v>0</v>
      </c>
      <c r="AF278" s="1294"/>
      <c r="AG278" s="1294"/>
      <c r="AH278" s="1294">
        <f t="shared" si="282"/>
        <v>-176830</v>
      </c>
      <c r="AI278" s="1294">
        <f t="shared" si="288"/>
        <v>0</v>
      </c>
      <c r="AJ278" s="1293">
        <f t="shared" si="287"/>
        <v>0</v>
      </c>
      <c r="AK278" s="1294">
        <f t="shared" si="266"/>
        <v>0</v>
      </c>
      <c r="AL278" s="1294"/>
      <c r="AM278" s="1294"/>
      <c r="AN278" s="1294"/>
      <c r="AO278" s="1294"/>
      <c r="AP278" s="1294"/>
      <c r="AQ278" s="1294"/>
      <c r="AR278" s="1294">
        <f t="shared" si="295"/>
        <v>0</v>
      </c>
      <c r="AS278" s="1136"/>
      <c r="AT278" s="668">
        <f t="shared" si="296"/>
        <v>0</v>
      </c>
      <c r="AU278" s="463"/>
      <c r="AV278" s="468">
        <f>T278+U278+V278-W278</f>
        <v>0</v>
      </c>
      <c r="AW278" s="468">
        <f t="shared" si="297"/>
        <v>3036970</v>
      </c>
      <c r="AX278" s="272"/>
      <c r="AY278" s="272"/>
      <c r="AZ278" s="272"/>
      <c r="BA278" s="272"/>
      <c r="BB278" s="272"/>
      <c r="BC278" s="437">
        <f>'[2]PRIH REBALANS'!$AG$643+'[2]PRIH REBALANS'!$AG$649+'[2]PRIH REBALANS'!$AG$652+'[2]PRIH REBALANS'!$AG$665+'[2]PRIH REBALANS'!$AG$669</f>
        <v>3063798</v>
      </c>
      <c r="BD278" s="437">
        <f>'[2]PRIH REBALANS'!$AI$648+'[2]PRIH REBALANS'!$AI$650+'[2]PRIH REBALANS'!$AI$651+'[2]PRIH REBALANS'!$AI$667+'[2]PRIH REBALANS'!$AI$668</f>
        <v>63005</v>
      </c>
      <c r="BF278" s="437"/>
    </row>
    <row r="279" spans="1:59" ht="39" customHeight="1">
      <c r="A279" s="1572"/>
      <c r="B279" s="1573"/>
      <c r="C279" s="1573"/>
      <c r="D279" s="1574" t="s">
        <v>337</v>
      </c>
      <c r="E279" s="1574"/>
      <c r="F279" s="1795" t="s">
        <v>1478</v>
      </c>
      <c r="G279" s="1836" t="s">
        <v>1479</v>
      </c>
      <c r="H279" s="1380"/>
      <c r="I279" s="1380"/>
      <c r="J279" s="1380"/>
      <c r="K279" s="1381"/>
      <c r="L279" s="1610"/>
      <c r="M279" s="1333"/>
      <c r="N279" s="1334">
        <v>63005</v>
      </c>
      <c r="O279" s="1375">
        <f>SUM(L279+N279)</f>
        <v>63005</v>
      </c>
      <c r="P279" s="1610"/>
      <c r="Q279" s="1333"/>
      <c r="R279" s="1334"/>
      <c r="S279" s="1336"/>
      <c r="T279" s="1610"/>
      <c r="U279" s="1333"/>
      <c r="V279" s="1334"/>
      <c r="W279" s="1375">
        <f t="shared" si="298"/>
        <v>0</v>
      </c>
      <c r="X279" s="1578">
        <f t="shared" si="286"/>
        <v>0</v>
      </c>
      <c r="Y279" s="2457"/>
      <c r="Z279" s="1136"/>
      <c r="AA279" s="1136"/>
      <c r="AB279" s="1293">
        <f t="shared" si="277"/>
        <v>0</v>
      </c>
      <c r="AC279" s="1293">
        <f t="shared" si="281"/>
        <v>0</v>
      </c>
      <c r="AD279" s="1293"/>
      <c r="AE279" s="1293">
        <f t="shared" si="279"/>
        <v>0</v>
      </c>
      <c r="AF279" s="1294"/>
      <c r="AG279" s="1294"/>
      <c r="AH279" s="1294">
        <f t="shared" si="282"/>
        <v>0</v>
      </c>
      <c r="AI279" s="1294">
        <f t="shared" si="288"/>
        <v>0</v>
      </c>
      <c r="AJ279" s="1293">
        <f t="shared" si="287"/>
        <v>0</v>
      </c>
      <c r="AK279" s="1294">
        <f t="shared" si="266"/>
        <v>0</v>
      </c>
      <c r="AL279" s="1294"/>
      <c r="AM279" s="1294"/>
      <c r="AN279" s="1294"/>
      <c r="AO279" s="1294"/>
      <c r="AP279" s="1294"/>
      <c r="AQ279" s="1294"/>
      <c r="AR279" s="1294">
        <f t="shared" si="295"/>
        <v>0</v>
      </c>
      <c r="AS279" s="1136"/>
      <c r="AT279" s="668">
        <f t="shared" si="296"/>
        <v>0</v>
      </c>
      <c r="AU279" s="463"/>
      <c r="AV279" s="468">
        <f>'Služba za kulturu-Prilog br. 1'!G41</f>
        <v>63005</v>
      </c>
      <c r="AW279" s="468">
        <f t="shared" si="297"/>
        <v>-63005</v>
      </c>
      <c r="AX279" s="272"/>
      <c r="AY279" s="272"/>
      <c r="AZ279" s="272"/>
      <c r="BA279" s="272"/>
      <c r="BB279" s="272"/>
      <c r="BC279" s="437">
        <f>'[2]PRIH REBALANS'!$AJ$649+'[2]PRIH REBALANS'!$AJ$668</f>
        <v>166000</v>
      </c>
      <c r="BD279" s="437"/>
      <c r="BE279" t="e">
        <f>#REF!/#REF!*100</f>
        <v>#REF!</v>
      </c>
      <c r="BF279" s="437" t="e">
        <f>BE279-#REF!</f>
        <v>#REF!</v>
      </c>
    </row>
    <row r="280" spans="1:59" ht="39" customHeight="1">
      <c r="A280" s="1594" t="s">
        <v>586</v>
      </c>
      <c r="B280" s="1595"/>
      <c r="C280" s="1595"/>
      <c r="D280" s="1657"/>
      <c r="E280" s="1658"/>
      <c r="F280" s="1816"/>
      <c r="G280" s="1861" t="s">
        <v>359</v>
      </c>
      <c r="H280" s="1660">
        <v>5650390</v>
      </c>
      <c r="I280" s="1619"/>
      <c r="J280" s="1619"/>
      <c r="K280" s="1585" t="e">
        <f>K281+K282+K283+K284+K285+K286</f>
        <v>#REF!</v>
      </c>
      <c r="L280" s="1620">
        <f>SUM(L281:L286)</f>
        <v>6884570</v>
      </c>
      <c r="M280" s="1313"/>
      <c r="N280" s="1314">
        <f>SUM(N285)</f>
        <v>1500</v>
      </c>
      <c r="O280" s="1335">
        <f>SUM(O281:O286)</f>
        <v>6886070</v>
      </c>
      <c r="P280" s="1620">
        <f>SUM(P281:P286)</f>
        <v>7254900</v>
      </c>
      <c r="Q280" s="1313"/>
      <c r="R280" s="1314"/>
      <c r="S280" s="1335">
        <f>SUM(S281+S282+S283+S284+S285+S286)</f>
        <v>7254900</v>
      </c>
      <c r="T280" s="1620">
        <f>SUM(T281:T286)</f>
        <v>5815690</v>
      </c>
      <c r="U280" s="1313"/>
      <c r="V280" s="1314"/>
      <c r="W280" s="1315">
        <f>SUM(W281:W286)</f>
        <v>5815690</v>
      </c>
      <c r="X280" s="1598">
        <f t="shared" si="286"/>
        <v>84.455865246795341</v>
      </c>
      <c r="Y280" s="758">
        <f>'[1]PRIH REBALANS'!$AK$654</f>
        <v>5815690</v>
      </c>
      <c r="Z280" s="1135"/>
      <c r="AA280" s="1135">
        <f>'[9]PRIH REBALANS'!$AK$654</f>
        <v>5815690</v>
      </c>
      <c r="AB280" s="1293">
        <f t="shared" si="277"/>
        <v>0</v>
      </c>
      <c r="AC280" s="1293">
        <f t="shared" si="281"/>
        <v>0</v>
      </c>
      <c r="AD280" s="1293">
        <f>'Služba za odgoj-Prilog br. 2'!P6</f>
        <v>5815690</v>
      </c>
      <c r="AE280" s="1293">
        <f t="shared" si="279"/>
        <v>0</v>
      </c>
      <c r="AF280" s="1293"/>
      <c r="AG280" s="1293"/>
      <c r="AH280" s="1294">
        <f t="shared" si="282"/>
        <v>-1068880</v>
      </c>
      <c r="AI280" s="1294">
        <f>AH280-W280</f>
        <v>-6884570</v>
      </c>
      <c r="AJ280" s="1293">
        <f t="shared" si="287"/>
        <v>0</v>
      </c>
      <c r="AK280" s="1294">
        <f t="shared" si="266"/>
        <v>0</v>
      </c>
      <c r="AL280" s="1294"/>
      <c r="AM280" s="1294"/>
      <c r="AN280" s="1294"/>
      <c r="AO280" s="1294"/>
      <c r="AP280" s="1294"/>
      <c r="AQ280" s="1294"/>
      <c r="AR280" s="1294">
        <f t="shared" si="295"/>
        <v>0</v>
      </c>
      <c r="AS280" s="1135">
        <f>SUM(W281:W286)</f>
        <v>5815690</v>
      </c>
      <c r="AT280" s="668">
        <f t="shared" si="296"/>
        <v>0</v>
      </c>
      <c r="AU280" s="463">
        <f>SUM(W281:W286)</f>
        <v>5815690</v>
      </c>
      <c r="AV280" s="468">
        <f>'Služba za odgoj-Prilog br. 2'!E6</f>
        <v>6884570</v>
      </c>
      <c r="AW280" s="468">
        <f t="shared" si="297"/>
        <v>-1068880</v>
      </c>
      <c r="AX280" s="669"/>
      <c r="AY280" s="669"/>
      <c r="AZ280" s="669"/>
      <c r="BA280" s="669"/>
      <c r="BB280" s="669"/>
      <c r="BC280" s="437">
        <f>'[2]PRIH REBALANS'!$AK$673</f>
        <v>6886070</v>
      </c>
      <c r="BD280" s="437">
        <f>BC280-W280</f>
        <v>1070380</v>
      </c>
      <c r="BE280">
        <f t="shared" ref="BE280:BE287" si="299">W281/O281*100</f>
        <v>59.684937931190355</v>
      </c>
      <c r="BF280" s="437">
        <f t="shared" ref="BF280:BF287" si="300">BE280-X280</f>
        <v>-24.770927315604986</v>
      </c>
      <c r="BG280" s="209">
        <f>SUM(W281:W286)</f>
        <v>5815690</v>
      </c>
    </row>
    <row r="281" spans="1:59" ht="39" customHeight="1">
      <c r="A281" s="1572"/>
      <c r="B281" s="1377"/>
      <c r="C281" s="1377"/>
      <c r="D281" s="1378">
        <v>111</v>
      </c>
      <c r="E281" s="1378" t="s">
        <v>358</v>
      </c>
      <c r="F281" s="1817">
        <v>613500</v>
      </c>
      <c r="G281" s="1840" t="s">
        <v>707</v>
      </c>
      <c r="H281" s="1380" t="e">
        <f>SUM(H282,#REF!,#REF!,#REF!,#REF!,)</f>
        <v>#REF!</v>
      </c>
      <c r="I281" s="1380" t="e">
        <f>SUM(I282,#REF!,#REF!,#REF!,#REF!)</f>
        <v>#REF!</v>
      </c>
      <c r="J281" s="1380" t="e">
        <f>SUM(J282,#REF!,#REF!,#REF!,#REF!)</f>
        <v>#REF!</v>
      </c>
      <c r="K281" s="1381" t="e">
        <f>#REF!</f>
        <v>#REF!</v>
      </c>
      <c r="L281" s="1610">
        <v>1769810</v>
      </c>
      <c r="M281" s="1303"/>
      <c r="N281" s="1304"/>
      <c r="O281" s="1375">
        <f>SUM(L281:N281)</f>
        <v>1769810</v>
      </c>
      <c r="P281" s="1610">
        <v>1697700</v>
      </c>
      <c r="Q281" s="1303"/>
      <c r="R281" s="1304"/>
      <c r="S281" s="1375">
        <f t="shared" ref="S281:S286" si="301">SUM(P281)</f>
        <v>1697700</v>
      </c>
      <c r="T281" s="1610">
        <f>'Služba za odgoj-Prilog br. 2'!M47</f>
        <v>1056310</v>
      </c>
      <c r="U281" s="1303"/>
      <c r="V281" s="1304"/>
      <c r="W281" s="1375">
        <f t="shared" ref="W281:W286" si="302">SUM(T281:V281)</f>
        <v>1056310</v>
      </c>
      <c r="X281" s="1578">
        <f t="shared" si="286"/>
        <v>59.684937931190355</v>
      </c>
      <c r="Y281" s="2457">
        <f>'[1]PRIH REBALANS'!$AG$694</f>
        <v>1056310</v>
      </c>
      <c r="Z281" s="1136"/>
      <c r="AA281" s="1136">
        <f>'Služba za odgoj-Prilog br. 2'!M47</f>
        <v>1056310</v>
      </c>
      <c r="AB281" s="1293">
        <f t="shared" si="277"/>
        <v>0</v>
      </c>
      <c r="AC281" s="1293">
        <f t="shared" si="281"/>
        <v>0</v>
      </c>
      <c r="AD281" s="1293"/>
      <c r="AE281" s="1293">
        <f t="shared" si="279"/>
        <v>0</v>
      </c>
      <c r="AF281" s="1294"/>
      <c r="AG281" s="1294"/>
      <c r="AH281" s="1294">
        <f t="shared" si="282"/>
        <v>-713500</v>
      </c>
      <c r="AI281" s="1294">
        <f t="shared" ref="AI281:AI286" si="303">T281+U281+V281-W281</f>
        <v>0</v>
      </c>
      <c r="AJ281" s="1293">
        <f t="shared" si="287"/>
        <v>0</v>
      </c>
      <c r="AK281" s="1294">
        <f t="shared" ref="AK281:AK312" si="304">T281+U281+V281-W281</f>
        <v>0</v>
      </c>
      <c r="AL281" s="1294"/>
      <c r="AM281" s="1294"/>
      <c r="AN281" s="1294"/>
      <c r="AO281" s="1294"/>
      <c r="AP281" s="1294"/>
      <c r="AQ281" s="1294"/>
      <c r="AR281" s="1294">
        <f t="shared" si="295"/>
        <v>0</v>
      </c>
      <c r="AS281" s="1136"/>
      <c r="AT281" s="668">
        <f t="shared" si="296"/>
        <v>0</v>
      </c>
      <c r="AU281" s="463"/>
      <c r="AV281" s="468">
        <f>'Služba za odgoj-Prilog br. 2'!E47</f>
        <v>1769810</v>
      </c>
      <c r="AW281" s="468">
        <f t="shared" si="297"/>
        <v>-713500</v>
      </c>
      <c r="AX281" s="671"/>
      <c r="AY281" s="671"/>
      <c r="AZ281" s="671"/>
      <c r="BA281" s="671"/>
      <c r="BB281" s="671"/>
      <c r="BC281" s="437">
        <f t="shared" ref="BC281:BC289" si="305">T281+U281+V281+-W281</f>
        <v>0</v>
      </c>
      <c r="BD281" s="437"/>
      <c r="BE281">
        <f t="shared" si="299"/>
        <v>100</v>
      </c>
      <c r="BF281" s="437">
        <f t="shared" si="300"/>
        <v>40.315062068809645</v>
      </c>
    </row>
    <row r="282" spans="1:59" ht="39" customHeight="1">
      <c r="A282" s="1572"/>
      <c r="B282" s="1573"/>
      <c r="C282" s="1573"/>
      <c r="D282" s="1378">
        <v>111</v>
      </c>
      <c r="E282" s="1378" t="s">
        <v>360</v>
      </c>
      <c r="F282" s="1817">
        <v>613990</v>
      </c>
      <c r="G282" s="1840" t="s">
        <v>235</v>
      </c>
      <c r="H282" s="1380" t="e">
        <f>SUM(#REF!,#REF!,#REF!,)</f>
        <v>#REF!</v>
      </c>
      <c r="I282" s="1380" t="e">
        <f>SUM(#REF!,#REF!)</f>
        <v>#REF!</v>
      </c>
      <c r="J282" s="1380" t="e">
        <f>SUM(#REF!,#REF!)</f>
        <v>#REF!</v>
      </c>
      <c r="K282" s="1381" t="e">
        <f>#REF!</f>
        <v>#REF!</v>
      </c>
      <c r="L282" s="1610">
        <v>9000</v>
      </c>
      <c r="M282" s="1303"/>
      <c r="N282" s="1304"/>
      <c r="O282" s="1375">
        <f t="shared" ref="O282:O286" si="306">SUM(L282:N282)</f>
        <v>9000</v>
      </c>
      <c r="P282" s="1610">
        <v>9000</v>
      </c>
      <c r="Q282" s="1303"/>
      <c r="R282" s="1304"/>
      <c r="S282" s="1375">
        <f t="shared" si="301"/>
        <v>9000</v>
      </c>
      <c r="T282" s="1610">
        <f>'Služba za odgoj-Prilog br. 2'!M46</f>
        <v>9000</v>
      </c>
      <c r="U282" s="1303"/>
      <c r="V282" s="1304"/>
      <c r="W282" s="1375">
        <f t="shared" si="302"/>
        <v>9000</v>
      </c>
      <c r="X282" s="1578">
        <f t="shared" si="286"/>
        <v>100</v>
      </c>
      <c r="Y282" s="2457">
        <f>'[1]PRIH REBALANS'!$AG$693</f>
        <v>9000</v>
      </c>
      <c r="Z282" s="1136"/>
      <c r="AA282" s="1136">
        <f>'Služba za odgoj-Prilog br. 2'!M46</f>
        <v>9000</v>
      </c>
      <c r="AB282" s="1293">
        <f t="shared" si="277"/>
        <v>0</v>
      </c>
      <c r="AC282" s="1293">
        <f t="shared" si="281"/>
        <v>0</v>
      </c>
      <c r="AD282" s="1293"/>
      <c r="AE282" s="1293">
        <f t="shared" si="279"/>
        <v>0</v>
      </c>
      <c r="AF282" s="1294"/>
      <c r="AG282" s="1294"/>
      <c r="AH282" s="1294">
        <f t="shared" si="282"/>
        <v>0</v>
      </c>
      <c r="AI282" s="1294">
        <f t="shared" si="303"/>
        <v>0</v>
      </c>
      <c r="AJ282" s="1293">
        <f t="shared" si="287"/>
        <v>0</v>
      </c>
      <c r="AK282" s="1294">
        <f t="shared" si="304"/>
        <v>0</v>
      </c>
      <c r="AL282" s="1294"/>
      <c r="AM282" s="1294"/>
      <c r="AN282" s="1294"/>
      <c r="AO282" s="1294"/>
      <c r="AP282" s="1294"/>
      <c r="AQ282" s="1294"/>
      <c r="AR282" s="1294">
        <f t="shared" si="295"/>
        <v>0</v>
      </c>
      <c r="AS282" s="1136"/>
      <c r="AT282" s="668">
        <f t="shared" si="296"/>
        <v>0</v>
      </c>
      <c r="AU282" s="463"/>
      <c r="AV282" s="468">
        <f>'Služba za odgoj-Prilog br. 2'!E46</f>
        <v>9000</v>
      </c>
      <c r="AW282" s="468">
        <f t="shared" si="297"/>
        <v>0</v>
      </c>
      <c r="AX282" s="463"/>
      <c r="AY282" s="463"/>
      <c r="AZ282" s="463"/>
      <c r="BA282" s="463"/>
      <c r="BB282" s="463"/>
      <c r="BC282" s="437">
        <f t="shared" si="305"/>
        <v>0</v>
      </c>
      <c r="BD282" s="437"/>
      <c r="BE282">
        <f t="shared" si="299"/>
        <v>94.713401303114921</v>
      </c>
      <c r="BF282" s="437">
        <f t="shared" si="300"/>
        <v>-5.2865986968850791</v>
      </c>
    </row>
    <row r="283" spans="1:59" ht="39" customHeight="1">
      <c r="A283" s="1572"/>
      <c r="B283" s="1573"/>
      <c r="C283" s="1573"/>
      <c r="D283" s="1378">
        <v>111</v>
      </c>
      <c r="E283" s="1574"/>
      <c r="F283" s="1817">
        <v>614125</v>
      </c>
      <c r="G283" s="1840" t="s">
        <v>590</v>
      </c>
      <c r="H283" s="1380"/>
      <c r="I283" s="1380"/>
      <c r="J283" s="1380"/>
      <c r="K283" s="1381" t="e">
        <f>#REF!+#REF!+#REF!+#REF!+#REF!</f>
        <v>#REF!</v>
      </c>
      <c r="L283" s="1610">
        <v>3695760</v>
      </c>
      <c r="M283" s="1303"/>
      <c r="N283" s="1304"/>
      <c r="O283" s="1375">
        <f t="shared" si="306"/>
        <v>3695760</v>
      </c>
      <c r="P283" s="1610">
        <v>3787700</v>
      </c>
      <c r="Q283" s="1303"/>
      <c r="R283" s="1304"/>
      <c r="S283" s="1375">
        <f>SUM(P283)</f>
        <v>3787700</v>
      </c>
      <c r="T283" s="1610">
        <f>'Služba za odgoj-Prilog br. 2'!M8+'Služba za odgoj-Prilog br. 2'!M14+'Služba za odgoj-Prilog br. 2'!M16+'Služba za odgoj-Prilog br. 2'!M18+'Služba za odgoj-Prilog br. 2'!M45+'Služba za odgoj-Prilog br. 2'!M48+'Služba za odgoj-Prilog br. 2'!M52</f>
        <v>3500380</v>
      </c>
      <c r="U283" s="1303"/>
      <c r="V283" s="1304"/>
      <c r="W283" s="1375">
        <f t="shared" si="302"/>
        <v>3500380</v>
      </c>
      <c r="X283" s="1578">
        <f t="shared" si="286"/>
        <v>94.713401303114921</v>
      </c>
      <c r="Y283" s="2457">
        <f>'[1]PRIH REBALANS'!$AG$656+'[1]PRIH REBALANS'!$AG$662+'[1]PRIH REBALANS'!$AG$664+'[1]PRIH REBALANS'!$AG$666+'[1]PRIH REBALANS'!$AG$692+'[1]PRIH REBALANS'!$AG$695</f>
        <v>3400380</v>
      </c>
      <c r="Z283" s="1136">
        <f>Y283-T283</f>
        <v>-100000</v>
      </c>
      <c r="AA283" s="1136">
        <f>'Služba za odgoj-Prilog br. 2'!M8+'Služba za odgoj-Prilog br. 2'!M14+'Služba za odgoj-Prilog br. 2'!M16+'Služba za odgoj-Prilog br. 2'!M18+'Služba za odgoj-Prilog br. 2'!M45+'Služba za odgoj-Prilog br. 2'!M48+'Služba za odgoj-Prilog br. 2'!M52</f>
        <v>3500380</v>
      </c>
      <c r="AB283" s="1293">
        <f t="shared" si="277"/>
        <v>0</v>
      </c>
      <c r="AC283" s="1293">
        <f t="shared" si="281"/>
        <v>0</v>
      </c>
      <c r="AD283" s="1293"/>
      <c r="AE283" s="1293">
        <f t="shared" si="279"/>
        <v>0</v>
      </c>
      <c r="AF283" s="1294"/>
      <c r="AG283" s="1294"/>
      <c r="AH283" s="1294">
        <f t="shared" si="282"/>
        <v>-195380</v>
      </c>
      <c r="AI283" s="1294">
        <f t="shared" si="303"/>
        <v>0</v>
      </c>
      <c r="AJ283" s="1293">
        <f t="shared" si="287"/>
        <v>0</v>
      </c>
      <c r="AK283" s="1294">
        <f t="shared" si="304"/>
        <v>0</v>
      </c>
      <c r="AL283" s="1294"/>
      <c r="AM283" s="1294"/>
      <c r="AN283" s="1294"/>
      <c r="AO283" s="1294"/>
      <c r="AP283" s="1294"/>
      <c r="AQ283" s="1294"/>
      <c r="AR283" s="1294">
        <f t="shared" si="295"/>
        <v>0</v>
      </c>
      <c r="AS283" s="1136"/>
      <c r="AT283" s="668">
        <f t="shared" si="296"/>
        <v>0</v>
      </c>
      <c r="AU283" s="463"/>
      <c r="AV283" s="468">
        <f>'Služba za odgoj-Prilog br. 2'!E8+'Služba za odgoj-Prilog br. 2'!E14+'Služba za odgoj-Prilog br. 2'!E16+'Služba za odgoj-Prilog br. 2'!E18+'Služba za odgoj-Prilog br. 2'!E44+'Služba za odgoj-Prilog br. 2'!E45+'Služba za odgoj-Prilog br. 2'!E48+'Služba za odgoj-Prilog br. 2'!E52</f>
        <v>3695760</v>
      </c>
      <c r="AW283" s="468">
        <f t="shared" si="297"/>
        <v>-195380</v>
      </c>
      <c r="AX283" s="463"/>
      <c r="AY283" s="463"/>
      <c r="AZ283" s="463"/>
      <c r="BA283" s="463"/>
      <c r="BB283" s="463"/>
      <c r="BC283" s="437">
        <f t="shared" si="305"/>
        <v>0</v>
      </c>
      <c r="BD283" s="437"/>
      <c r="BE283">
        <f t="shared" si="299"/>
        <v>82.35294117647058</v>
      </c>
      <c r="BF283" s="437">
        <f t="shared" si="300"/>
        <v>-12.360460126644341</v>
      </c>
    </row>
    <row r="284" spans="1:59" ht="39" customHeight="1">
      <c r="A284" s="1572"/>
      <c r="B284" s="1573"/>
      <c r="C284" s="1573"/>
      <c r="D284" s="1378">
        <v>111</v>
      </c>
      <c r="E284" s="1574"/>
      <c r="F284" s="1817">
        <v>614200</v>
      </c>
      <c r="G284" s="1840" t="s">
        <v>183</v>
      </c>
      <c r="H284" s="1380"/>
      <c r="I284" s="1380"/>
      <c r="J284" s="1380"/>
      <c r="K284" s="1374" t="e">
        <f>#REF!</f>
        <v>#REF!</v>
      </c>
      <c r="L284" s="1610">
        <v>340000</v>
      </c>
      <c r="M284" s="1303"/>
      <c r="N284" s="1304"/>
      <c r="O284" s="1375">
        <f t="shared" si="306"/>
        <v>340000</v>
      </c>
      <c r="P284" s="1610">
        <v>445500</v>
      </c>
      <c r="Q284" s="1303"/>
      <c r="R284" s="1304"/>
      <c r="S284" s="1375">
        <f t="shared" si="301"/>
        <v>445500</v>
      </c>
      <c r="T284" s="1610">
        <f>'Služba za odgoj-Prilog br. 2'!M58</f>
        <v>280000</v>
      </c>
      <c r="U284" s="1303"/>
      <c r="V284" s="1304"/>
      <c r="W284" s="1375">
        <f t="shared" si="302"/>
        <v>280000</v>
      </c>
      <c r="X284" s="1578">
        <f t="shared" si="286"/>
        <v>82.35294117647058</v>
      </c>
      <c r="Y284" s="2457"/>
      <c r="Z284" s="1136"/>
      <c r="AA284" s="1136">
        <f>'Služba za odgoj-Prilog br. 2'!M58</f>
        <v>280000</v>
      </c>
      <c r="AB284" s="1293">
        <f t="shared" si="277"/>
        <v>0</v>
      </c>
      <c r="AC284" s="1293">
        <f t="shared" si="281"/>
        <v>0</v>
      </c>
      <c r="AD284" s="1293"/>
      <c r="AE284" s="1293">
        <f t="shared" si="279"/>
        <v>0</v>
      </c>
      <c r="AF284" s="1294"/>
      <c r="AG284" s="1294"/>
      <c r="AH284" s="1294">
        <f t="shared" si="282"/>
        <v>-60000</v>
      </c>
      <c r="AI284" s="1294">
        <f t="shared" si="303"/>
        <v>0</v>
      </c>
      <c r="AJ284" s="1293">
        <f t="shared" si="287"/>
        <v>0</v>
      </c>
      <c r="AK284" s="1294">
        <f t="shared" si="304"/>
        <v>0</v>
      </c>
      <c r="AL284" s="1294"/>
      <c r="AM284" s="1294"/>
      <c r="AN284" s="1294"/>
      <c r="AO284" s="1294"/>
      <c r="AP284" s="1294"/>
      <c r="AQ284" s="1294"/>
      <c r="AR284" s="1294">
        <f t="shared" si="295"/>
        <v>0</v>
      </c>
      <c r="AS284" s="1136"/>
      <c r="AT284" s="668">
        <f t="shared" si="296"/>
        <v>0</v>
      </c>
      <c r="AU284" s="463"/>
      <c r="AV284" s="468">
        <f>'Služba za odgoj-Prilog br. 2'!E58</f>
        <v>340000</v>
      </c>
      <c r="AW284" s="468">
        <f t="shared" si="297"/>
        <v>-60000</v>
      </c>
      <c r="AX284" s="463"/>
      <c r="AY284" s="463"/>
      <c r="AZ284" s="463"/>
      <c r="BA284" s="463"/>
      <c r="BB284" s="463"/>
      <c r="BC284" s="437">
        <f t="shared" si="305"/>
        <v>0</v>
      </c>
      <c r="BD284" s="437"/>
      <c r="BE284">
        <f t="shared" si="299"/>
        <v>88.678192972671496</v>
      </c>
      <c r="BF284" s="437">
        <f t="shared" si="300"/>
        <v>6.3252517962009165</v>
      </c>
    </row>
    <row r="285" spans="1:59" ht="39" customHeight="1">
      <c r="A285" s="1572"/>
      <c r="B285" s="1573"/>
      <c r="C285" s="1573"/>
      <c r="D285" s="1378" t="s">
        <v>339</v>
      </c>
      <c r="E285" s="1574"/>
      <c r="F285" s="1817">
        <v>614300</v>
      </c>
      <c r="G285" s="1840" t="s">
        <v>590</v>
      </c>
      <c r="H285" s="1380"/>
      <c r="I285" s="1380"/>
      <c r="J285" s="1380"/>
      <c r="K285" s="1374" t="e">
        <f>#REF!+#REF!</f>
        <v>#REF!</v>
      </c>
      <c r="L285" s="1610">
        <v>895000</v>
      </c>
      <c r="M285" s="1303"/>
      <c r="N285" s="1334">
        <v>1500</v>
      </c>
      <c r="O285" s="1375">
        <f t="shared" si="306"/>
        <v>896500</v>
      </c>
      <c r="P285" s="1610">
        <v>1005000</v>
      </c>
      <c r="Q285" s="1303"/>
      <c r="R285" s="1334"/>
      <c r="S285" s="1375">
        <f t="shared" si="301"/>
        <v>1005000</v>
      </c>
      <c r="T285" s="1610">
        <f>'Služba za odgoj-Prilog br. 2'!M67+'Služba za odgoj-Prilog br. 2'!M63+'Služba za odgoj-Prilog br. 2'!M53+'Služba za odgoj-Prilog br. 2'!M50</f>
        <v>795000</v>
      </c>
      <c r="U285" s="1303"/>
      <c r="V285" s="1334"/>
      <c r="W285" s="1375">
        <f t="shared" si="302"/>
        <v>795000</v>
      </c>
      <c r="X285" s="1578">
        <f t="shared" si="286"/>
        <v>88.678192972671496</v>
      </c>
      <c r="Y285" s="2457"/>
      <c r="Z285" s="1136"/>
      <c r="AA285" s="1136">
        <f>'Služba za odgoj-Prilog br. 2'!M67+'Služba za odgoj-Prilog br. 2'!M63+'Služba za odgoj-Prilog br. 2'!M53+'Služba za odgoj-Prilog br. 2'!M50</f>
        <v>795000</v>
      </c>
      <c r="AB285" s="1293">
        <f t="shared" si="277"/>
        <v>0</v>
      </c>
      <c r="AC285" s="1293">
        <f t="shared" si="281"/>
        <v>0</v>
      </c>
      <c r="AD285" s="1293"/>
      <c r="AE285" s="1293">
        <f t="shared" si="279"/>
        <v>0</v>
      </c>
      <c r="AF285" s="1294"/>
      <c r="AG285" s="1294"/>
      <c r="AH285" s="1294">
        <f t="shared" si="282"/>
        <v>-100000</v>
      </c>
      <c r="AI285" s="1294">
        <f t="shared" si="303"/>
        <v>0</v>
      </c>
      <c r="AJ285" s="1293">
        <f t="shared" si="287"/>
        <v>0</v>
      </c>
      <c r="AK285" s="1294">
        <f t="shared" si="304"/>
        <v>0</v>
      </c>
      <c r="AL285" s="1294"/>
      <c r="AM285" s="1294"/>
      <c r="AN285" s="1294"/>
      <c r="AO285" s="1294"/>
      <c r="AP285" s="1294"/>
      <c r="AQ285" s="1294"/>
      <c r="AR285" s="1294">
        <f t="shared" si="295"/>
        <v>0</v>
      </c>
      <c r="AS285" s="1136"/>
      <c r="AT285" s="668">
        <f t="shared" si="296"/>
        <v>0</v>
      </c>
      <c r="AU285" s="463"/>
      <c r="AV285" s="468">
        <f>'Služba za odgoj-Prilog br. 2'!E50+'Služba za odgoj-Prilog br. 2'!E53+'Služba za odgoj-Prilog br. 2'!E61+'Služba za odgoj-Prilog br. 2'!E67</f>
        <v>895000</v>
      </c>
      <c r="AW285" s="468">
        <f t="shared" si="297"/>
        <v>-100000</v>
      </c>
      <c r="AX285" s="463"/>
      <c r="AY285" s="463"/>
      <c r="AZ285" s="463"/>
      <c r="BA285" s="463"/>
      <c r="BB285" s="463"/>
      <c r="BC285" s="437">
        <f t="shared" si="305"/>
        <v>0</v>
      </c>
      <c r="BD285" s="437"/>
      <c r="BE285">
        <f t="shared" si="299"/>
        <v>100</v>
      </c>
      <c r="BF285" s="437">
        <f t="shared" si="300"/>
        <v>11.321807027328504</v>
      </c>
    </row>
    <row r="286" spans="1:59" ht="39" customHeight="1">
      <c r="A286" s="1572"/>
      <c r="B286" s="1573"/>
      <c r="C286" s="1573"/>
      <c r="D286" s="1378">
        <v>111</v>
      </c>
      <c r="E286" s="1574"/>
      <c r="F286" s="1817">
        <v>615000</v>
      </c>
      <c r="G286" s="1840" t="s">
        <v>587</v>
      </c>
      <c r="H286" s="1380"/>
      <c r="I286" s="1380"/>
      <c r="J286" s="1380"/>
      <c r="K286" s="1374" t="e">
        <f>#REF!+#REF!</f>
        <v>#REF!</v>
      </c>
      <c r="L286" s="1610">
        <v>175000</v>
      </c>
      <c r="M286" s="1303"/>
      <c r="N286" s="1304"/>
      <c r="O286" s="1375">
        <f t="shared" si="306"/>
        <v>175000</v>
      </c>
      <c r="P286" s="1610">
        <v>310000</v>
      </c>
      <c r="Q286" s="1303"/>
      <c r="R286" s="1304"/>
      <c r="S286" s="1375">
        <f t="shared" si="301"/>
        <v>310000</v>
      </c>
      <c r="T286" s="1610">
        <f>'Služba za odgoj-Prilog br. 2'!M15+'Služba za odgoj-Prilog br. 2'!M49</f>
        <v>175000</v>
      </c>
      <c r="U286" s="1303"/>
      <c r="V286" s="1304"/>
      <c r="W286" s="1375">
        <f t="shared" si="302"/>
        <v>175000</v>
      </c>
      <c r="X286" s="1578">
        <f t="shared" si="286"/>
        <v>100</v>
      </c>
      <c r="Y286" s="2457"/>
      <c r="Z286" s="1136"/>
      <c r="AA286" s="1136">
        <f>'Služba za odgoj-Prilog br. 2'!M15+'Služba za odgoj-Prilog br. 2'!M49</f>
        <v>175000</v>
      </c>
      <c r="AB286" s="1293">
        <f t="shared" si="277"/>
        <v>0</v>
      </c>
      <c r="AC286" s="1293">
        <f t="shared" si="281"/>
        <v>0</v>
      </c>
      <c r="AD286" s="1293"/>
      <c r="AE286" s="1293">
        <f t="shared" si="279"/>
        <v>0</v>
      </c>
      <c r="AF286" s="1294"/>
      <c r="AG286" s="1294"/>
      <c r="AH286" s="1294">
        <f t="shared" si="282"/>
        <v>0</v>
      </c>
      <c r="AI286" s="1294">
        <f t="shared" si="303"/>
        <v>0</v>
      </c>
      <c r="AJ286" s="1293">
        <f t="shared" si="287"/>
        <v>0</v>
      </c>
      <c r="AK286" s="1294">
        <f t="shared" si="304"/>
        <v>0</v>
      </c>
      <c r="AL286" s="1294"/>
      <c r="AM286" s="1294"/>
      <c r="AN286" s="1294"/>
      <c r="AO286" s="1294"/>
      <c r="AP286" s="1294"/>
      <c r="AQ286" s="1294"/>
      <c r="AR286" s="1294">
        <f t="shared" si="295"/>
        <v>0</v>
      </c>
      <c r="AS286" s="1136"/>
      <c r="AT286" s="668">
        <f t="shared" si="296"/>
        <v>0</v>
      </c>
      <c r="AU286" s="463"/>
      <c r="AV286" s="468">
        <f>T286+U286+V286-W286</f>
        <v>0</v>
      </c>
      <c r="AW286" s="468">
        <f t="shared" si="297"/>
        <v>175000</v>
      </c>
      <c r="AX286" s="463"/>
      <c r="AY286" s="463"/>
      <c r="AZ286" s="463"/>
      <c r="BA286" s="463"/>
      <c r="BB286" s="463"/>
      <c r="BC286" s="437">
        <f t="shared" si="305"/>
        <v>0</v>
      </c>
      <c r="BD286" s="437"/>
      <c r="BE286">
        <f t="shared" si="299"/>
        <v>83.467775698532336</v>
      </c>
      <c r="BF286" s="437">
        <f t="shared" si="300"/>
        <v>-16.532224301467664</v>
      </c>
    </row>
    <row r="287" spans="1:59" ht="39" customHeight="1">
      <c r="A287" s="1661" t="s">
        <v>588</v>
      </c>
      <c r="B287" s="1618"/>
      <c r="C287" s="1618"/>
      <c r="D287" s="1662" t="s">
        <v>319</v>
      </c>
      <c r="E287" s="1662"/>
      <c r="F287" s="1818"/>
      <c r="G287" s="1861" t="s">
        <v>708</v>
      </c>
      <c r="H287" s="1619" t="e">
        <f>SUM(H288,#REF!,#REF!,#REF!,#REF!,#REF!)</f>
        <v>#REF!</v>
      </c>
      <c r="I287" s="1619" t="e">
        <f>SUM(I288,#REF!,#REF!,#REF!,#REF!,#REF!)</f>
        <v>#REF!</v>
      </c>
      <c r="J287" s="1619" t="e">
        <f>SUM(J288,#REF!,#REF!,#REF!,)</f>
        <v>#REF!</v>
      </c>
      <c r="K287" s="1663" t="e">
        <f>SUM(K288:K298)</f>
        <v>#REF!</v>
      </c>
      <c r="L287" s="1620">
        <f>SUM(L288:L294:L297:L299)</f>
        <v>3448130</v>
      </c>
      <c r="M287" s="1313">
        <f>SUM(M288:M294:M297:M299)</f>
        <v>76499</v>
      </c>
      <c r="N287" s="1314">
        <f>SUM(N288:N294:N297:N299)</f>
        <v>583699</v>
      </c>
      <c r="O287" s="1335">
        <f>SUM(O288:O299)</f>
        <v>4108328</v>
      </c>
      <c r="P287" s="1620">
        <f>SUM(P288:P296)</f>
        <v>3428130</v>
      </c>
      <c r="Q287" s="1313">
        <f>SUM(Q288+Q295)</f>
        <v>11000</v>
      </c>
      <c r="R287" s="1314"/>
      <c r="S287" s="1335">
        <f>SUM(S288:S296)</f>
        <v>3439130</v>
      </c>
      <c r="T287" s="1620">
        <f>SUM(T288:T296)</f>
        <v>3418130</v>
      </c>
      <c r="U287" s="1313">
        <f>SUM(U288:U296)</f>
        <v>11000</v>
      </c>
      <c r="V287" s="1314">
        <f>SUM(V290)</f>
        <v>0</v>
      </c>
      <c r="W287" s="1315">
        <f>SUM(W288:W296)</f>
        <v>3429130</v>
      </c>
      <c r="X287" s="1598">
        <f t="shared" si="286"/>
        <v>83.467775698532336</v>
      </c>
      <c r="Y287" s="758">
        <f>'[1]PRIH REBALANS'!$AK$723</f>
        <v>3429130</v>
      </c>
      <c r="Z287" s="1135">
        <f>'Socijani segment-Prilog br.3'!P6</f>
        <v>3429130</v>
      </c>
      <c r="AA287" s="1135">
        <f>'[9]PRIH REBALANS'!$AK$723</f>
        <v>3429130</v>
      </c>
      <c r="AB287" s="1293">
        <f t="shared" si="277"/>
        <v>0</v>
      </c>
      <c r="AC287" s="1293">
        <f t="shared" si="281"/>
        <v>0</v>
      </c>
      <c r="AD287" s="1293">
        <f>'Socijani segment-Prilog br.3'!P6</f>
        <v>3429130</v>
      </c>
      <c r="AE287" s="1293">
        <f t="shared" si="279"/>
        <v>0</v>
      </c>
      <c r="AF287" s="1293"/>
      <c r="AG287" s="1293"/>
      <c r="AH287" s="1294">
        <f t="shared" si="282"/>
        <v>-30000</v>
      </c>
      <c r="AI287" s="1294">
        <f>AH287-W287</f>
        <v>-3459130</v>
      </c>
      <c r="AJ287" s="1293">
        <f t="shared" si="287"/>
        <v>0</v>
      </c>
      <c r="AK287" s="1294">
        <f t="shared" si="304"/>
        <v>0</v>
      </c>
      <c r="AL287" s="1294"/>
      <c r="AM287" s="1294"/>
      <c r="AN287" s="1294"/>
      <c r="AO287" s="1294"/>
      <c r="AP287" s="1294"/>
      <c r="AQ287" s="1294"/>
      <c r="AR287" s="1294">
        <f t="shared" si="295"/>
        <v>0</v>
      </c>
      <c r="AS287" s="1135">
        <f>SUM(W288:W302)</f>
        <v>4323130</v>
      </c>
      <c r="AT287" s="668">
        <f t="shared" si="296"/>
        <v>0</v>
      </c>
      <c r="AU287" s="668">
        <f>SUM(W288:W302)</f>
        <v>4323130</v>
      </c>
      <c r="AV287" s="468">
        <f>'Socijani segment-Prilog br.3'!H6</f>
        <v>4108328</v>
      </c>
      <c r="AW287" s="468">
        <f t="shared" si="297"/>
        <v>-679198</v>
      </c>
      <c r="AX287" s="669"/>
      <c r="AY287" s="669"/>
      <c r="AZ287" s="669"/>
      <c r="BA287" s="669"/>
      <c r="BB287" s="669"/>
      <c r="BC287" s="437">
        <f t="shared" si="305"/>
        <v>0</v>
      </c>
      <c r="BD287" s="437"/>
      <c r="BE287">
        <f t="shared" si="299"/>
        <v>100</v>
      </c>
      <c r="BF287" s="437">
        <f t="shared" si="300"/>
        <v>16.532224301467664</v>
      </c>
      <c r="BG287" s="469">
        <f>SUM(W288:W302)</f>
        <v>4323130</v>
      </c>
    </row>
    <row r="288" spans="1:59" ht="39" customHeight="1">
      <c r="A288" s="1572"/>
      <c r="B288" s="1573"/>
      <c r="C288" s="1573"/>
      <c r="D288" s="1574" t="s">
        <v>625</v>
      </c>
      <c r="E288" s="1574"/>
      <c r="F288" s="1817">
        <v>613700</v>
      </c>
      <c r="G288" s="2083" t="s">
        <v>567</v>
      </c>
      <c r="H288" s="1380" t="e">
        <f>SUM(H289:H298)</f>
        <v>#REF!</v>
      </c>
      <c r="I288" s="1380">
        <f>SUM(I289:I298)</f>
        <v>0</v>
      </c>
      <c r="J288" s="1380">
        <f>SUM(J289:J298)</f>
        <v>0</v>
      </c>
      <c r="K288" s="1374" t="e">
        <f>#REF!+#REF!+#REF!</f>
        <v>#REF!</v>
      </c>
      <c r="L288" s="1610">
        <v>40000</v>
      </c>
      <c r="M288" s="1333">
        <v>5500</v>
      </c>
      <c r="N288" s="1334"/>
      <c r="O288" s="1375">
        <f>SUM(L288:N288)</f>
        <v>45500</v>
      </c>
      <c r="P288" s="1610">
        <v>50000</v>
      </c>
      <c r="Q288" s="1333">
        <v>5500</v>
      </c>
      <c r="R288" s="1334"/>
      <c r="S288" s="1336">
        <f>SUM(P288+Q288)</f>
        <v>55500</v>
      </c>
      <c r="T288" s="1610">
        <f>'Socijani segment-Prilog br.3'!M46</f>
        <v>40000</v>
      </c>
      <c r="U288" s="1333">
        <f>'Socijani segment-Prilog br.3'!N24</f>
        <v>5500</v>
      </c>
      <c r="V288" s="1334"/>
      <c r="W288" s="1375">
        <f>SUM(T288:V288)</f>
        <v>45500</v>
      </c>
      <c r="X288" s="1578">
        <f t="shared" si="286"/>
        <v>100</v>
      </c>
      <c r="Y288" s="2457"/>
      <c r="Z288" s="1136"/>
      <c r="AA288" s="1136">
        <f>'Socijani segment-Prilog br.3'!M46</f>
        <v>40000</v>
      </c>
      <c r="AB288" s="1293">
        <f t="shared" si="277"/>
        <v>0</v>
      </c>
      <c r="AC288" s="1293">
        <f t="shared" si="281"/>
        <v>0</v>
      </c>
      <c r="AD288" s="1293"/>
      <c r="AE288" s="1293">
        <f t="shared" si="279"/>
        <v>0</v>
      </c>
      <c r="AF288" s="1294"/>
      <c r="AG288" s="1294"/>
      <c r="AH288" s="1294">
        <f t="shared" si="282"/>
        <v>0</v>
      </c>
      <c r="AI288" s="1294">
        <f t="shared" ref="AI288:AI319" si="307">T288+U288+V288-W288</f>
        <v>0</v>
      </c>
      <c r="AJ288" s="1293">
        <f t="shared" si="287"/>
        <v>0</v>
      </c>
      <c r="AK288" s="1294">
        <f t="shared" si="304"/>
        <v>0</v>
      </c>
      <c r="AL288" s="1294"/>
      <c r="AM288" s="1294"/>
      <c r="AN288" s="1294"/>
      <c r="AO288" s="1294"/>
      <c r="AP288" s="1294"/>
      <c r="AQ288" s="1294"/>
      <c r="AR288" s="1294">
        <f t="shared" si="295"/>
        <v>0</v>
      </c>
      <c r="AS288" s="1136"/>
      <c r="AT288" s="668">
        <f t="shared" si="296"/>
        <v>0</v>
      </c>
      <c r="AU288" s="463"/>
      <c r="AV288" s="468">
        <f t="shared" ref="AV288:AV296" si="308">T288+U288+V288-W288</f>
        <v>0</v>
      </c>
      <c r="AW288" s="468">
        <f t="shared" si="297"/>
        <v>45500</v>
      </c>
      <c r="AX288" s="463"/>
      <c r="AY288" s="463"/>
      <c r="AZ288" s="463"/>
      <c r="BA288" s="463"/>
      <c r="BB288" s="463"/>
      <c r="BC288" s="437">
        <f t="shared" si="305"/>
        <v>0</v>
      </c>
      <c r="BD288" s="437"/>
      <c r="BE288" t="e">
        <f>#REF!/#REF!*100</f>
        <v>#REF!</v>
      </c>
      <c r="BF288" s="437" t="e">
        <f>BE288-#REF!</f>
        <v>#REF!</v>
      </c>
    </row>
    <row r="289" spans="1:60" ht="39" customHeight="1">
      <c r="A289" s="1572"/>
      <c r="B289" s="1573"/>
      <c r="C289" s="1573"/>
      <c r="D289" s="1574" t="s">
        <v>319</v>
      </c>
      <c r="E289" s="1574"/>
      <c r="F289" s="1817">
        <v>613900</v>
      </c>
      <c r="G289" s="1837" t="s">
        <v>235</v>
      </c>
      <c r="H289" s="1645">
        <v>110690</v>
      </c>
      <c r="I289" s="1575"/>
      <c r="J289" s="1575"/>
      <c r="K289" s="1374" t="e">
        <f>#REF!+#REF!+#REF!</f>
        <v>#REF!</v>
      </c>
      <c r="L289" s="1610">
        <v>40000</v>
      </c>
      <c r="M289" s="1333"/>
      <c r="N289" s="1334"/>
      <c r="O289" s="1375">
        <f t="shared" ref="O289:O299" si="309">SUM(L289:N289)</f>
        <v>40000</v>
      </c>
      <c r="P289" s="1610"/>
      <c r="Q289" s="1333"/>
      <c r="R289" s="1334"/>
      <c r="S289" s="1336"/>
      <c r="T289" s="1610">
        <f>'Socijani segment-Prilog br.3'!M41</f>
        <v>40000</v>
      </c>
      <c r="U289" s="1333"/>
      <c r="V289" s="1334"/>
      <c r="W289" s="1375">
        <f t="shared" ref="W289:W298" si="310">SUM(T289:V289)</f>
        <v>40000</v>
      </c>
      <c r="X289" s="1578">
        <f t="shared" si="286"/>
        <v>100</v>
      </c>
      <c r="Y289" s="2457"/>
      <c r="Z289" s="1136"/>
      <c r="AA289" s="1136">
        <f>'Socijani segment-Prilog br.3'!M41</f>
        <v>40000</v>
      </c>
      <c r="AB289" s="1293">
        <f t="shared" si="277"/>
        <v>0</v>
      </c>
      <c r="AC289" s="1293">
        <f t="shared" si="281"/>
        <v>0</v>
      </c>
      <c r="AD289" s="1293"/>
      <c r="AE289" s="1293">
        <f t="shared" si="279"/>
        <v>0</v>
      </c>
      <c r="AF289" s="1294"/>
      <c r="AG289" s="1294"/>
      <c r="AH289" s="1294">
        <f t="shared" si="282"/>
        <v>0</v>
      </c>
      <c r="AI289" s="1294">
        <f t="shared" si="307"/>
        <v>0</v>
      </c>
      <c r="AJ289" s="1293">
        <f t="shared" si="287"/>
        <v>0</v>
      </c>
      <c r="AK289" s="1294">
        <f t="shared" si="304"/>
        <v>0</v>
      </c>
      <c r="AL289" s="1294"/>
      <c r="AM289" s="1294"/>
      <c r="AN289" s="1294"/>
      <c r="AO289" s="1294"/>
      <c r="AP289" s="1294"/>
      <c r="AQ289" s="1294"/>
      <c r="AR289" s="1294">
        <f t="shared" si="295"/>
        <v>0</v>
      </c>
      <c r="AS289" s="1136"/>
      <c r="AT289" s="668">
        <f t="shared" si="296"/>
        <v>0</v>
      </c>
      <c r="AU289" s="463"/>
      <c r="AV289" s="468">
        <f t="shared" si="308"/>
        <v>0</v>
      </c>
      <c r="AW289" s="468">
        <f t="shared" si="297"/>
        <v>40000</v>
      </c>
      <c r="AX289" s="674">
        <f>'[2]PRIH REBALANS'!$AI$761</f>
        <v>27639</v>
      </c>
      <c r="AY289" s="674"/>
      <c r="AZ289" s="674"/>
      <c r="BA289" s="674"/>
      <c r="BB289" s="674"/>
      <c r="BC289" s="455">
        <f t="shared" si="305"/>
        <v>0</v>
      </c>
      <c r="BD289" s="455"/>
      <c r="BE289">
        <f>W291/O291*100</f>
        <v>100</v>
      </c>
      <c r="BF289" s="437">
        <f>BE289-X290</f>
        <v>100</v>
      </c>
    </row>
    <row r="290" spans="1:60" ht="39" customHeight="1">
      <c r="A290" s="1572"/>
      <c r="B290" s="1573"/>
      <c r="C290" s="1573"/>
      <c r="D290" s="1574" t="s">
        <v>337</v>
      </c>
      <c r="E290" s="1574"/>
      <c r="F290" s="1817">
        <v>613900</v>
      </c>
      <c r="G290" s="1837" t="s">
        <v>1482</v>
      </c>
      <c r="H290" s="1645"/>
      <c r="I290" s="1575"/>
      <c r="J290" s="1575"/>
      <c r="K290" s="1374"/>
      <c r="L290" s="1610"/>
      <c r="M290" s="1333"/>
      <c r="N290" s="1334">
        <v>27639</v>
      </c>
      <c r="O290" s="1375">
        <f t="shared" si="309"/>
        <v>27639</v>
      </c>
      <c r="P290" s="1610">
        <v>40000</v>
      </c>
      <c r="Q290" s="1333"/>
      <c r="R290" s="1334"/>
      <c r="S290" s="1336">
        <f>SUM(P290+R290)</f>
        <v>40000</v>
      </c>
      <c r="T290" s="1610"/>
      <c r="U290" s="1333"/>
      <c r="V290" s="1334"/>
      <c r="W290" s="1375">
        <f t="shared" si="310"/>
        <v>0</v>
      </c>
      <c r="X290" s="1578">
        <f t="shared" si="286"/>
        <v>0</v>
      </c>
      <c r="Y290" s="2457"/>
      <c r="Z290" s="1136"/>
      <c r="AA290" s="1136">
        <f>'Socijani segment-Prilog br.3'!M41</f>
        <v>40000</v>
      </c>
      <c r="AB290" s="1293">
        <f t="shared" si="277"/>
        <v>0</v>
      </c>
      <c r="AC290" s="1293">
        <f t="shared" si="281"/>
        <v>0</v>
      </c>
      <c r="AD290" s="1293"/>
      <c r="AE290" s="1293">
        <f t="shared" si="279"/>
        <v>0</v>
      </c>
      <c r="AF290" s="1294"/>
      <c r="AG290" s="1294"/>
      <c r="AH290" s="1294">
        <f t="shared" si="282"/>
        <v>0</v>
      </c>
      <c r="AI290" s="1294">
        <f t="shared" si="307"/>
        <v>0</v>
      </c>
      <c r="AJ290" s="1293">
        <f t="shared" si="287"/>
        <v>0</v>
      </c>
      <c r="AK290" s="1294">
        <f t="shared" si="304"/>
        <v>0</v>
      </c>
      <c r="AL290" s="1294"/>
      <c r="AM290" s="1294"/>
      <c r="AN290" s="1294"/>
      <c r="AO290" s="1294"/>
      <c r="AP290" s="1294"/>
      <c r="AQ290" s="1294"/>
      <c r="AR290" s="1294">
        <f t="shared" si="295"/>
        <v>0</v>
      </c>
      <c r="AS290" s="1136"/>
      <c r="AT290" s="668">
        <f t="shared" si="296"/>
        <v>0</v>
      </c>
      <c r="AU290" s="463"/>
      <c r="AV290" s="468">
        <f t="shared" si="308"/>
        <v>0</v>
      </c>
      <c r="AW290" s="468">
        <f t="shared" si="297"/>
        <v>0</v>
      </c>
      <c r="AX290" s="674"/>
      <c r="AY290" s="674"/>
      <c r="AZ290" s="674"/>
      <c r="BA290" s="674"/>
      <c r="BB290" s="674"/>
      <c r="BC290" s="455"/>
      <c r="BD290" s="455"/>
      <c r="BF290" s="437"/>
    </row>
    <row r="291" spans="1:60" ht="39" customHeight="1">
      <c r="A291" s="1572"/>
      <c r="B291" s="1573"/>
      <c r="C291" s="1573"/>
      <c r="D291" s="1574" t="s">
        <v>319</v>
      </c>
      <c r="E291" s="1574"/>
      <c r="F291" s="1817">
        <v>614180</v>
      </c>
      <c r="G291" s="1837" t="s">
        <v>589</v>
      </c>
      <c r="H291" s="1645">
        <v>5000</v>
      </c>
      <c r="I291" s="1575"/>
      <c r="J291" s="1575"/>
      <c r="K291" s="1374" t="e">
        <f>#REF!</f>
        <v>#REF!</v>
      </c>
      <c r="L291" s="1610">
        <v>1565990</v>
      </c>
      <c r="M291" s="1333"/>
      <c r="N291" s="1334"/>
      <c r="O291" s="1375">
        <f t="shared" si="309"/>
        <v>1565990</v>
      </c>
      <c r="P291" s="1610">
        <v>1323300</v>
      </c>
      <c r="Q291" s="1333"/>
      <c r="R291" s="1334"/>
      <c r="S291" s="1336">
        <f>SUM(P291)</f>
        <v>1323300</v>
      </c>
      <c r="T291" s="1610">
        <f>'Socijani segment-Prilog br.3'!M7+'Socijani segment-Prilog br.3'!M38</f>
        <v>1565990</v>
      </c>
      <c r="U291" s="1333"/>
      <c r="V291" s="1334"/>
      <c r="W291" s="1375">
        <f t="shared" si="310"/>
        <v>1565990</v>
      </c>
      <c r="X291" s="1578">
        <f t="shared" si="286"/>
        <v>100</v>
      </c>
      <c r="Y291" s="2457"/>
      <c r="Z291" s="1136"/>
      <c r="AA291" s="1136">
        <f>'Socijani segment-Prilog br.3'!M38+'Socijani segment-Prilog br.3'!M7</f>
        <v>1565990</v>
      </c>
      <c r="AB291" s="1293">
        <f t="shared" si="277"/>
        <v>0</v>
      </c>
      <c r="AC291" s="1293">
        <f t="shared" si="281"/>
        <v>0</v>
      </c>
      <c r="AD291" s="1293"/>
      <c r="AE291" s="1293">
        <f t="shared" si="279"/>
        <v>0</v>
      </c>
      <c r="AF291" s="1294"/>
      <c r="AG291" s="1294"/>
      <c r="AH291" s="1294">
        <f t="shared" si="282"/>
        <v>0</v>
      </c>
      <c r="AI291" s="1294">
        <f t="shared" si="307"/>
        <v>0</v>
      </c>
      <c r="AJ291" s="1293">
        <f t="shared" si="287"/>
        <v>0</v>
      </c>
      <c r="AK291" s="1294">
        <f t="shared" si="304"/>
        <v>0</v>
      </c>
      <c r="AL291" s="1294"/>
      <c r="AM291" s="1294"/>
      <c r="AN291" s="1294"/>
      <c r="AO291" s="1294"/>
      <c r="AP291" s="1294"/>
      <c r="AQ291" s="1294"/>
      <c r="AR291" s="1294">
        <f t="shared" si="295"/>
        <v>0</v>
      </c>
      <c r="AS291" s="1136"/>
      <c r="AT291" s="668">
        <f t="shared" si="296"/>
        <v>0</v>
      </c>
      <c r="AU291" s="463"/>
      <c r="AV291" s="468">
        <f t="shared" si="308"/>
        <v>0</v>
      </c>
      <c r="AW291" s="468">
        <f t="shared" si="297"/>
        <v>1565990</v>
      </c>
      <c r="AX291" s="674"/>
      <c r="AY291" s="674"/>
      <c r="AZ291" s="674"/>
      <c r="BA291" s="674"/>
      <c r="BB291" s="674"/>
      <c r="BC291" s="437">
        <f>T291+U291+V291+-W291</f>
        <v>0</v>
      </c>
      <c r="BD291" s="437"/>
      <c r="BE291">
        <f>W293/O293*100</f>
        <v>92.307692307692307</v>
      </c>
      <c r="BF291" s="437">
        <f>BE291-X292</f>
        <v>92.307692307692307</v>
      </c>
    </row>
    <row r="292" spans="1:60" ht="39" customHeight="1">
      <c r="A292" s="1572"/>
      <c r="B292" s="1573"/>
      <c r="C292" s="1573"/>
      <c r="D292" s="1574" t="s">
        <v>337</v>
      </c>
      <c r="E292" s="1574"/>
      <c r="F292" s="1817">
        <v>614180</v>
      </c>
      <c r="G292" s="1837" t="s">
        <v>423</v>
      </c>
      <c r="H292" s="1645"/>
      <c r="I292" s="1575"/>
      <c r="J292" s="1575"/>
      <c r="K292" s="1374"/>
      <c r="L292" s="1610"/>
      <c r="M292" s="1333"/>
      <c r="N292" s="1334">
        <v>20000</v>
      </c>
      <c r="O292" s="1375">
        <f t="shared" si="309"/>
        <v>20000</v>
      </c>
      <c r="P292" s="1610">
        <v>360000</v>
      </c>
      <c r="Q292" s="1333"/>
      <c r="R292" s="1334"/>
      <c r="S292" s="1336">
        <f>SUM(P292)</f>
        <v>360000</v>
      </c>
      <c r="T292" s="1610"/>
      <c r="U292" s="1333"/>
      <c r="V292" s="1334"/>
      <c r="W292" s="1375">
        <f t="shared" si="310"/>
        <v>0</v>
      </c>
      <c r="X292" s="1578">
        <f t="shared" si="286"/>
        <v>0</v>
      </c>
      <c r="Y292" s="2457"/>
      <c r="Z292" s="1136"/>
      <c r="AA292" s="1136"/>
      <c r="AB292" s="1293">
        <f t="shared" si="277"/>
        <v>0</v>
      </c>
      <c r="AC292" s="1293">
        <f t="shared" si="281"/>
        <v>0</v>
      </c>
      <c r="AD292" s="1293"/>
      <c r="AE292" s="1293">
        <f t="shared" si="279"/>
        <v>0</v>
      </c>
      <c r="AF292" s="1294"/>
      <c r="AG292" s="1294"/>
      <c r="AH292" s="1294">
        <f t="shared" si="282"/>
        <v>0</v>
      </c>
      <c r="AI292" s="1294">
        <f t="shared" si="307"/>
        <v>0</v>
      </c>
      <c r="AJ292" s="1293">
        <f t="shared" si="287"/>
        <v>0</v>
      </c>
      <c r="AK292" s="1294">
        <f t="shared" si="304"/>
        <v>0</v>
      </c>
      <c r="AL292" s="1294"/>
      <c r="AM292" s="1294"/>
      <c r="AN292" s="1294"/>
      <c r="AO292" s="1294"/>
      <c r="AP292" s="1294"/>
      <c r="AQ292" s="1294"/>
      <c r="AR292" s="1294">
        <f t="shared" si="295"/>
        <v>0</v>
      </c>
      <c r="AS292" s="1136"/>
      <c r="AT292" s="668">
        <f t="shared" si="296"/>
        <v>0</v>
      </c>
      <c r="AU292" s="463"/>
      <c r="AV292" s="468">
        <f t="shared" si="308"/>
        <v>0</v>
      </c>
      <c r="AW292" s="468">
        <f t="shared" si="297"/>
        <v>0</v>
      </c>
      <c r="AX292" s="674"/>
      <c r="AY292" s="674"/>
      <c r="AZ292" s="674"/>
      <c r="BA292" s="674"/>
      <c r="BB292" s="674"/>
      <c r="BC292" s="437"/>
      <c r="BD292" s="437"/>
      <c r="BF292" s="437"/>
    </row>
    <row r="293" spans="1:60" ht="39" customHeight="1">
      <c r="A293" s="1376"/>
      <c r="B293" s="1573"/>
      <c r="C293" s="1573"/>
      <c r="D293" s="1574" t="s">
        <v>319</v>
      </c>
      <c r="E293" s="1574"/>
      <c r="F293" s="1817">
        <v>614200</v>
      </c>
      <c r="G293" s="1837" t="s">
        <v>183</v>
      </c>
      <c r="H293" s="1645">
        <v>5000</v>
      </c>
      <c r="I293" s="1575"/>
      <c r="J293" s="1575"/>
      <c r="K293" s="1374" t="e">
        <f>#REF!+#REF!</f>
        <v>#REF!</v>
      </c>
      <c r="L293" s="1610">
        <v>390000</v>
      </c>
      <c r="M293" s="1333"/>
      <c r="N293" s="1334"/>
      <c r="O293" s="1375">
        <f t="shared" si="309"/>
        <v>390000</v>
      </c>
      <c r="P293" s="1610">
        <v>1654830</v>
      </c>
      <c r="Q293" s="1333"/>
      <c r="R293" s="1334"/>
      <c r="S293" s="1336">
        <f>SUM(P293+R293)</f>
        <v>1654830</v>
      </c>
      <c r="T293" s="1610">
        <v>360000</v>
      </c>
      <c r="U293" s="1333"/>
      <c r="V293" s="1334"/>
      <c r="W293" s="1375">
        <f t="shared" si="310"/>
        <v>360000</v>
      </c>
      <c r="X293" s="1578">
        <f t="shared" si="286"/>
        <v>92.307692307692307</v>
      </c>
      <c r="Y293" s="2457"/>
      <c r="Z293" s="1136"/>
      <c r="AA293" s="1136">
        <f>'Socijani segment-Prilog br.3'!M43+'Socijani segment-Prilog br.3'!M42</f>
        <v>360000</v>
      </c>
      <c r="AB293" s="1293">
        <f t="shared" si="277"/>
        <v>0</v>
      </c>
      <c r="AC293" s="1293">
        <f t="shared" si="281"/>
        <v>0</v>
      </c>
      <c r="AD293" s="1293"/>
      <c r="AE293" s="1293">
        <f t="shared" si="279"/>
        <v>0</v>
      </c>
      <c r="AF293" s="1294"/>
      <c r="AG293" s="1294"/>
      <c r="AH293" s="1294">
        <f t="shared" si="282"/>
        <v>-30000</v>
      </c>
      <c r="AI293" s="1294">
        <f t="shared" si="307"/>
        <v>0</v>
      </c>
      <c r="AJ293" s="1293">
        <f t="shared" si="287"/>
        <v>0</v>
      </c>
      <c r="AK293" s="1294">
        <f t="shared" si="304"/>
        <v>0</v>
      </c>
      <c r="AL293" s="1294"/>
      <c r="AM293" s="1294"/>
      <c r="AN293" s="1294"/>
      <c r="AO293" s="1294"/>
      <c r="AP293" s="1294"/>
      <c r="AQ293" s="1294"/>
      <c r="AR293" s="1294">
        <f t="shared" si="295"/>
        <v>0</v>
      </c>
      <c r="AS293" s="1136"/>
      <c r="AT293" s="668">
        <f t="shared" si="296"/>
        <v>0</v>
      </c>
      <c r="AU293" s="463"/>
      <c r="AV293" s="468">
        <f t="shared" si="308"/>
        <v>0</v>
      </c>
      <c r="AW293" s="468">
        <f t="shared" si="297"/>
        <v>360000</v>
      </c>
      <c r="AX293" s="463"/>
      <c r="AY293" s="463"/>
      <c r="AZ293" s="463"/>
      <c r="BA293" s="463"/>
      <c r="BB293" s="463"/>
      <c r="BC293" s="437">
        <f>T293+U293+V293+-W293</f>
        <v>0</v>
      </c>
      <c r="BD293" s="437"/>
      <c r="BE293">
        <f>W294/O294*100</f>
        <v>0</v>
      </c>
      <c r="BF293" s="437">
        <f>BE293-X293</f>
        <v>-92.307692307692307</v>
      </c>
    </row>
    <row r="294" spans="1:60" ht="39" customHeight="1">
      <c r="A294" s="1376"/>
      <c r="B294" s="1573"/>
      <c r="C294" s="1573"/>
      <c r="D294" s="1574" t="s">
        <v>339</v>
      </c>
      <c r="E294" s="1574"/>
      <c r="F294" s="1817">
        <v>614300</v>
      </c>
      <c r="G294" s="1837" t="s">
        <v>590</v>
      </c>
      <c r="H294" s="1645">
        <v>5000</v>
      </c>
      <c r="I294" s="1575"/>
      <c r="J294" s="1575"/>
      <c r="K294" s="1374" t="e">
        <f>#REF!+H288+#REF!</f>
        <v>#REF!</v>
      </c>
      <c r="L294" s="1610">
        <v>1412140</v>
      </c>
      <c r="M294" s="1333"/>
      <c r="N294" s="1334">
        <v>498560</v>
      </c>
      <c r="O294" s="1375">
        <f t="shared" si="309"/>
        <v>1910700</v>
      </c>
      <c r="P294" s="1610"/>
      <c r="Q294" s="1333"/>
      <c r="R294" s="1334"/>
      <c r="S294" s="1336"/>
      <c r="T294" s="1610"/>
      <c r="U294" s="1333"/>
      <c r="V294" s="1334"/>
      <c r="W294" s="1375">
        <f t="shared" si="310"/>
        <v>0</v>
      </c>
      <c r="X294" s="1578">
        <f t="shared" si="286"/>
        <v>0</v>
      </c>
      <c r="Y294" s="2457"/>
      <c r="Z294" s="1136"/>
      <c r="AA294" s="1136"/>
      <c r="AB294" s="1293">
        <f t="shared" si="277"/>
        <v>0</v>
      </c>
      <c r="AC294" s="1293">
        <f t="shared" si="281"/>
        <v>0</v>
      </c>
      <c r="AD294" s="1293"/>
      <c r="AE294" s="1293">
        <f t="shared" si="279"/>
        <v>0</v>
      </c>
      <c r="AF294" s="1294"/>
      <c r="AG294" s="1294"/>
      <c r="AH294" s="1294">
        <f t="shared" si="282"/>
        <v>-1412140</v>
      </c>
      <c r="AI294" s="1294">
        <f t="shared" si="307"/>
        <v>0</v>
      </c>
      <c r="AJ294" s="1293">
        <f t="shared" si="287"/>
        <v>0</v>
      </c>
      <c r="AK294" s="1294">
        <f t="shared" si="304"/>
        <v>0</v>
      </c>
      <c r="AL294" s="1294"/>
      <c r="AM294" s="1294"/>
      <c r="AN294" s="1294"/>
      <c r="AO294" s="1294"/>
      <c r="AP294" s="1294"/>
      <c r="AQ294" s="1294"/>
      <c r="AR294" s="1294">
        <f t="shared" si="295"/>
        <v>0</v>
      </c>
      <c r="AS294" s="1136"/>
      <c r="AT294" s="668">
        <f t="shared" si="296"/>
        <v>0</v>
      </c>
      <c r="AU294" s="463"/>
      <c r="AV294" s="468">
        <f t="shared" si="308"/>
        <v>0</v>
      </c>
      <c r="AW294" s="468">
        <f t="shared" si="297"/>
        <v>0</v>
      </c>
      <c r="AX294" s="463"/>
      <c r="AY294" s="463"/>
      <c r="AZ294" s="463"/>
      <c r="BA294" s="463"/>
      <c r="BB294" s="463"/>
      <c r="BC294" s="437">
        <f>T294+U294+V294+-W294</f>
        <v>0</v>
      </c>
      <c r="BD294" s="437"/>
      <c r="BE294" t="e">
        <f>#REF!/#REF!*100</f>
        <v>#REF!</v>
      </c>
      <c r="BF294" s="437" t="e">
        <f>BE294-#REF!</f>
        <v>#REF!</v>
      </c>
    </row>
    <row r="295" spans="1:60" ht="39" customHeight="1">
      <c r="A295" s="1376"/>
      <c r="B295" s="1573"/>
      <c r="C295" s="1573"/>
      <c r="D295" s="1574" t="s">
        <v>337</v>
      </c>
      <c r="E295" s="1574"/>
      <c r="F295" s="1817">
        <v>614300</v>
      </c>
      <c r="G295" s="1837" t="s">
        <v>1481</v>
      </c>
      <c r="H295" s="1645"/>
      <c r="I295" s="1575"/>
      <c r="J295" s="1575"/>
      <c r="K295" s="1374"/>
      <c r="L295" s="1610"/>
      <c r="M295" s="1333"/>
      <c r="N295" s="1334">
        <v>25000</v>
      </c>
      <c r="O295" s="1375">
        <f t="shared" si="309"/>
        <v>25000</v>
      </c>
      <c r="P295" s="1610"/>
      <c r="Q295" s="1333">
        <v>5500</v>
      </c>
      <c r="R295" s="1334"/>
      <c r="S295" s="1336">
        <v>5500</v>
      </c>
      <c r="T295" s="1610">
        <f>'Socijani segment-Prilog br.3'!M31</f>
        <v>1412140</v>
      </c>
      <c r="U295" s="1333">
        <v>5500</v>
      </c>
      <c r="V295" s="1334"/>
      <c r="W295" s="1375">
        <f t="shared" si="310"/>
        <v>1417640</v>
      </c>
      <c r="X295" s="1578">
        <f t="shared" si="286"/>
        <v>5670.5599999999995</v>
      </c>
      <c r="Y295" s="2457"/>
      <c r="Z295" s="1136"/>
      <c r="AA295" s="1136">
        <f>'Socijani segment-Prilog br.3'!M31</f>
        <v>1412140</v>
      </c>
      <c r="AB295" s="1293">
        <f t="shared" si="277"/>
        <v>0</v>
      </c>
      <c r="AC295" s="1293">
        <f t="shared" si="281"/>
        <v>0</v>
      </c>
      <c r="AD295" s="1293"/>
      <c r="AE295" s="1293">
        <f t="shared" si="279"/>
        <v>0</v>
      </c>
      <c r="AF295" s="1294"/>
      <c r="AG295" s="1294"/>
      <c r="AH295" s="1294">
        <f t="shared" si="282"/>
        <v>1412140</v>
      </c>
      <c r="AI295" s="1294">
        <f t="shared" si="307"/>
        <v>0</v>
      </c>
      <c r="AJ295" s="1293">
        <f t="shared" si="287"/>
        <v>0</v>
      </c>
      <c r="AK295" s="1294">
        <f t="shared" si="304"/>
        <v>0</v>
      </c>
      <c r="AL295" s="1294"/>
      <c r="AM295" s="1294"/>
      <c r="AN295" s="1294"/>
      <c r="AO295" s="1294"/>
      <c r="AP295" s="1294"/>
      <c r="AQ295" s="1294"/>
      <c r="AR295" s="1294">
        <f t="shared" si="295"/>
        <v>0</v>
      </c>
      <c r="AS295" s="1136"/>
      <c r="AT295" s="668">
        <f t="shared" si="296"/>
        <v>0</v>
      </c>
      <c r="AU295" s="463"/>
      <c r="AV295" s="468">
        <f t="shared" si="308"/>
        <v>0</v>
      </c>
      <c r="AW295" s="468">
        <f t="shared" si="297"/>
        <v>1417640</v>
      </c>
      <c r="AX295" s="463"/>
      <c r="AY295" s="463"/>
      <c r="AZ295" s="463"/>
      <c r="BA295" s="463"/>
      <c r="BB295" s="463"/>
      <c r="BC295" s="437"/>
      <c r="BD295" s="437"/>
      <c r="BF295" s="437"/>
    </row>
    <row r="296" spans="1:60" ht="39" customHeight="1">
      <c r="A296" s="1376"/>
      <c r="B296" s="1573"/>
      <c r="C296" s="1573"/>
      <c r="D296" s="1574" t="s">
        <v>337</v>
      </c>
      <c r="E296" s="1574"/>
      <c r="F296" s="1817">
        <v>614301</v>
      </c>
      <c r="G296" s="1837" t="s">
        <v>1481</v>
      </c>
      <c r="H296" s="1645"/>
      <c r="I296" s="1575"/>
      <c r="J296" s="1575"/>
      <c r="K296" s="1374"/>
      <c r="L296" s="1610"/>
      <c r="M296" s="1333"/>
      <c r="N296" s="1334">
        <v>12500</v>
      </c>
      <c r="O296" s="1375">
        <f t="shared" si="309"/>
        <v>12500</v>
      </c>
      <c r="P296" s="1610"/>
      <c r="Q296" s="1333"/>
      <c r="R296" s="1334"/>
      <c r="S296" s="1336"/>
      <c r="T296" s="1610"/>
      <c r="U296" s="1333"/>
      <c r="V296" s="1334"/>
      <c r="W296" s="1375">
        <f t="shared" si="310"/>
        <v>0</v>
      </c>
      <c r="X296" s="1578">
        <f t="shared" si="286"/>
        <v>0</v>
      </c>
      <c r="Y296" s="2457"/>
      <c r="Z296" s="1136"/>
      <c r="AA296" s="1136"/>
      <c r="AB296" s="1293">
        <f t="shared" si="277"/>
        <v>0</v>
      </c>
      <c r="AC296" s="1293">
        <f t="shared" si="281"/>
        <v>0</v>
      </c>
      <c r="AD296" s="1293">
        <f>W296-O296</f>
        <v>-12500</v>
      </c>
      <c r="AE296" s="1293">
        <f t="shared" si="279"/>
        <v>0</v>
      </c>
      <c r="AF296" s="1294"/>
      <c r="AG296" s="1294"/>
      <c r="AH296" s="1294">
        <f t="shared" si="282"/>
        <v>0</v>
      </c>
      <c r="AI296" s="1294">
        <f t="shared" si="307"/>
        <v>0</v>
      </c>
      <c r="AJ296" s="1293">
        <f t="shared" si="287"/>
        <v>0</v>
      </c>
      <c r="AK296" s="1294">
        <f t="shared" si="304"/>
        <v>0</v>
      </c>
      <c r="AL296" s="1294"/>
      <c r="AM296" s="1294"/>
      <c r="AN296" s="1294"/>
      <c r="AO296" s="1294"/>
      <c r="AP296" s="1294"/>
      <c r="AQ296" s="1294"/>
      <c r="AR296" s="1294">
        <f t="shared" si="295"/>
        <v>0</v>
      </c>
      <c r="AS296" s="1136"/>
      <c r="AT296" s="668">
        <f t="shared" si="296"/>
        <v>0</v>
      </c>
      <c r="AU296" s="463"/>
      <c r="AV296" s="468">
        <f t="shared" si="308"/>
        <v>0</v>
      </c>
      <c r="AW296" s="468">
        <f t="shared" si="297"/>
        <v>0</v>
      </c>
      <c r="AX296" s="463"/>
      <c r="AY296" s="463"/>
      <c r="AZ296" s="463"/>
      <c r="BA296" s="463"/>
      <c r="BB296" s="463"/>
      <c r="BC296" s="437"/>
      <c r="BD296" s="437"/>
      <c r="BF296" s="437"/>
    </row>
    <row r="297" spans="1:60" ht="39" customHeight="1">
      <c r="A297" s="1376"/>
      <c r="B297" s="1573"/>
      <c r="C297" s="1573"/>
      <c r="D297" s="1574" t="s">
        <v>478</v>
      </c>
      <c r="E297" s="1574"/>
      <c r="F297" s="1817">
        <v>820999</v>
      </c>
      <c r="G297" s="1837" t="s">
        <v>591</v>
      </c>
      <c r="H297" s="1645"/>
      <c r="I297" s="1575"/>
      <c r="J297" s="1575"/>
      <c r="K297" s="1374"/>
      <c r="L297" s="1610"/>
      <c r="M297" s="1333">
        <v>5500</v>
      </c>
      <c r="N297" s="1334"/>
      <c r="O297" s="1375">
        <f t="shared" si="309"/>
        <v>5500</v>
      </c>
      <c r="P297" s="1610"/>
      <c r="Q297" s="1333"/>
      <c r="R297" s="1334"/>
      <c r="S297" s="1336"/>
      <c r="T297" s="1610"/>
      <c r="U297" s="1333"/>
      <c r="V297" s="1334"/>
      <c r="W297" s="1375">
        <f t="shared" si="310"/>
        <v>0</v>
      </c>
      <c r="X297" s="1578">
        <f t="shared" si="286"/>
        <v>0</v>
      </c>
      <c r="Y297" s="2457"/>
      <c r="Z297" s="1136"/>
      <c r="AA297" s="1136"/>
      <c r="AB297" s="1293">
        <f t="shared" si="277"/>
        <v>0</v>
      </c>
      <c r="AC297" s="1293">
        <f t="shared" si="281"/>
        <v>0</v>
      </c>
      <c r="AD297" s="1293">
        <f>W297-O297</f>
        <v>-5500</v>
      </c>
      <c r="AE297" s="1293">
        <f t="shared" si="279"/>
        <v>0</v>
      </c>
      <c r="AF297" s="1294"/>
      <c r="AG297" s="1294"/>
      <c r="AH297" s="1294">
        <f t="shared" si="282"/>
        <v>0</v>
      </c>
      <c r="AI297" s="1294">
        <f t="shared" si="307"/>
        <v>0</v>
      </c>
      <c r="AJ297" s="1293">
        <f t="shared" si="287"/>
        <v>0</v>
      </c>
      <c r="AK297" s="1294">
        <f t="shared" si="304"/>
        <v>0</v>
      </c>
      <c r="AL297" s="1294"/>
      <c r="AM297" s="1294"/>
      <c r="AN297" s="1294"/>
      <c r="AO297" s="1294"/>
      <c r="AP297" s="1294"/>
      <c r="AQ297" s="1294"/>
      <c r="AR297" s="1294">
        <f t="shared" si="295"/>
        <v>0</v>
      </c>
      <c r="AS297" s="1136"/>
      <c r="AT297" s="668">
        <f>T301+U301+V301-W301</f>
        <v>0</v>
      </c>
      <c r="AU297" s="463"/>
      <c r="AV297" s="468">
        <f>T301+U301+V301-W301</f>
        <v>0</v>
      </c>
      <c r="AW297" s="468">
        <f>W301-AV297</f>
        <v>250000</v>
      </c>
      <c r="AX297" s="463"/>
      <c r="AY297" s="463"/>
      <c r="AZ297" s="463"/>
      <c r="BA297" s="463"/>
      <c r="BB297" s="463"/>
      <c r="BC297" s="437"/>
      <c r="BD297" s="437"/>
      <c r="BF297" s="437"/>
    </row>
    <row r="298" spans="1:60" ht="39" customHeight="1">
      <c r="A298" s="1376"/>
      <c r="B298" s="1573"/>
      <c r="C298" s="1573"/>
      <c r="D298" s="1574" t="s">
        <v>478</v>
      </c>
      <c r="E298" s="1574"/>
      <c r="F298" s="1817">
        <v>821000</v>
      </c>
      <c r="G298" s="1837" t="s">
        <v>1483</v>
      </c>
      <c r="H298" s="1645" t="e">
        <f>SUM(#REF!)</f>
        <v>#REF!</v>
      </c>
      <c r="I298" s="1575"/>
      <c r="J298" s="1575"/>
      <c r="K298" s="1374" t="e">
        <f>#REF!+#REF!</f>
        <v>#REF!</v>
      </c>
      <c r="L298" s="1610"/>
      <c r="M298" s="1333">
        <v>65499</v>
      </c>
      <c r="N298" s="1334"/>
      <c r="O298" s="1375">
        <f t="shared" si="309"/>
        <v>65499</v>
      </c>
      <c r="P298" s="1610"/>
      <c r="Q298" s="1333"/>
      <c r="R298" s="1334"/>
      <c r="S298" s="1336"/>
      <c r="T298" s="1610"/>
      <c r="U298" s="1333"/>
      <c r="V298" s="1334"/>
      <c r="W298" s="1375">
        <f t="shared" si="310"/>
        <v>0</v>
      </c>
      <c r="X298" s="1578">
        <f t="shared" si="286"/>
        <v>0</v>
      </c>
      <c r="Y298" s="2457"/>
      <c r="Z298" s="1136"/>
      <c r="AA298" s="1136"/>
      <c r="AB298" s="1293">
        <f t="shared" si="277"/>
        <v>0</v>
      </c>
      <c r="AC298" s="1293">
        <f t="shared" si="281"/>
        <v>0</v>
      </c>
      <c r="AD298" s="1293">
        <f>W298-O298</f>
        <v>-65499</v>
      </c>
      <c r="AE298" s="1293">
        <f t="shared" si="279"/>
        <v>0</v>
      </c>
      <c r="AF298" s="1294"/>
      <c r="AG298" s="1294"/>
      <c r="AH298" s="1294">
        <f t="shared" si="282"/>
        <v>0</v>
      </c>
      <c r="AI298" s="1294">
        <f t="shared" si="307"/>
        <v>0</v>
      </c>
      <c r="AJ298" s="1293">
        <f t="shared" si="287"/>
        <v>0</v>
      </c>
      <c r="AK298" s="1294">
        <f t="shared" si="304"/>
        <v>0</v>
      </c>
      <c r="AL298" s="1294"/>
      <c r="AM298" s="1294"/>
      <c r="AN298" s="1294"/>
      <c r="AO298" s="1294"/>
      <c r="AP298" s="1294"/>
      <c r="AQ298" s="1294"/>
      <c r="AR298" s="1294">
        <f t="shared" si="295"/>
        <v>0</v>
      </c>
      <c r="AS298" s="1136"/>
      <c r="AT298" s="668">
        <f>T302+U302+V302-W302</f>
        <v>0</v>
      </c>
      <c r="AU298" s="463"/>
      <c r="AV298" s="468">
        <f>T302+U302+V302-W302</f>
        <v>0</v>
      </c>
      <c r="AW298" s="468">
        <f>W302-AV298</f>
        <v>197000</v>
      </c>
      <c r="AX298" s="463"/>
      <c r="AY298" s="463"/>
      <c r="AZ298" s="463"/>
      <c r="BA298" s="463"/>
      <c r="BB298" s="463"/>
      <c r="BC298" s="437">
        <f>T302+U302+V302+-W302</f>
        <v>0</v>
      </c>
      <c r="BD298" s="437"/>
      <c r="BE298" t="e">
        <f>#REF!/O299*100</f>
        <v>#REF!</v>
      </c>
      <c r="BF298" s="437" t="e">
        <f>BE298-#REF!</f>
        <v>#REF!</v>
      </c>
    </row>
    <row r="299" spans="1:60" ht="39" hidden="1" customHeight="1">
      <c r="A299" s="1376"/>
      <c r="B299" s="1573"/>
      <c r="C299" s="1573"/>
      <c r="D299" s="1574"/>
      <c r="E299" s="1574"/>
      <c r="F299" s="1817">
        <v>821000</v>
      </c>
      <c r="G299" s="1837" t="s">
        <v>591</v>
      </c>
      <c r="H299" s="1645"/>
      <c r="I299" s="1575"/>
      <c r="J299" s="1575"/>
      <c r="K299" s="1374"/>
      <c r="L299" s="1610"/>
      <c r="M299" s="1333"/>
      <c r="N299" s="1334"/>
      <c r="O299" s="1336">
        <f t="shared" si="309"/>
        <v>0</v>
      </c>
      <c r="P299" s="1610"/>
      <c r="Q299" s="1333"/>
      <c r="R299" s="1334"/>
      <c r="S299" s="1336"/>
      <c r="T299" s="1610"/>
      <c r="U299" s="1333"/>
      <c r="V299" s="1334"/>
      <c r="W299" s="1336"/>
      <c r="X299" s="1578" t="e">
        <f t="shared" si="286"/>
        <v>#DIV/0!</v>
      </c>
      <c r="Y299" s="2457"/>
      <c r="Z299" s="1136"/>
      <c r="AA299" s="1136"/>
      <c r="AB299" s="1293">
        <f t="shared" si="277"/>
        <v>0</v>
      </c>
      <c r="AC299" s="1293">
        <f t="shared" si="281"/>
        <v>0</v>
      </c>
      <c r="AD299" s="1293">
        <f>W299-O299</f>
        <v>0</v>
      </c>
      <c r="AE299" s="1293">
        <f t="shared" si="279"/>
        <v>0</v>
      </c>
      <c r="AF299" s="1294"/>
      <c r="AG299" s="1294"/>
      <c r="AH299" s="1294">
        <f t="shared" si="282"/>
        <v>0</v>
      </c>
      <c r="AI299" s="1294">
        <f t="shared" si="307"/>
        <v>0</v>
      </c>
      <c r="AJ299" s="1293">
        <f t="shared" si="287"/>
        <v>0</v>
      </c>
      <c r="AK299" s="1294">
        <f t="shared" si="304"/>
        <v>0</v>
      </c>
      <c r="AL299" s="1294"/>
      <c r="AM299" s="1294"/>
      <c r="AN299" s="1294"/>
      <c r="AO299" s="1294"/>
      <c r="AP299" s="1294"/>
      <c r="AQ299" s="1294"/>
      <c r="AR299" s="1294">
        <f t="shared" si="295"/>
        <v>0</v>
      </c>
      <c r="AS299" s="1136"/>
      <c r="AT299" s="668" t="e">
        <f>#REF!+#REF!+#REF!-#REF!</f>
        <v>#REF!</v>
      </c>
      <c r="AU299" s="463"/>
      <c r="AV299" s="468" t="e">
        <f>#REF!+#REF!+#REF!-#REF!</f>
        <v>#REF!</v>
      </c>
      <c r="AW299" s="468" t="e">
        <f>#REF!-AV299</f>
        <v>#REF!</v>
      </c>
      <c r="AX299" s="463"/>
      <c r="AY299" s="463"/>
      <c r="AZ299" s="463"/>
      <c r="BA299" s="463"/>
      <c r="BB299" s="463"/>
      <c r="BC299" s="437" t="e">
        <f>#REF!+#REF!+#REF!+-#REF!</f>
        <v>#REF!</v>
      </c>
      <c r="BD299" s="437"/>
      <c r="BE299">
        <f>W303/O300*100</f>
        <v>2184.98</v>
      </c>
      <c r="BF299" s="437">
        <f>BE299-X302</f>
        <v>2083.9543589743589</v>
      </c>
    </row>
    <row r="300" spans="1:60" ht="39" customHeight="1">
      <c r="A300" s="1594" t="s">
        <v>592</v>
      </c>
      <c r="B300" s="1595"/>
      <c r="C300" s="1595"/>
      <c r="D300" s="1657"/>
      <c r="E300" s="1657"/>
      <c r="F300" s="1818"/>
      <c r="G300" s="1862" t="s">
        <v>452</v>
      </c>
      <c r="H300" s="1619" t="e">
        <f>H301</f>
        <v>#REF!</v>
      </c>
      <c r="I300" s="1619" t="e">
        <f>SUM(I301)</f>
        <v>#REF!</v>
      </c>
      <c r="J300" s="1619" t="e">
        <f>SUM(J301)</f>
        <v>#REF!</v>
      </c>
      <c r="K300" s="1585" t="e">
        <f>K301+K302</f>
        <v>#REF!</v>
      </c>
      <c r="L300" s="1620">
        <f>SUM(L301:L302)</f>
        <v>415000</v>
      </c>
      <c r="M300" s="1313">
        <f t="shared" ref="M300:N300" si="311">SUM(M301:M302)</f>
        <v>0</v>
      </c>
      <c r="N300" s="1314">
        <f t="shared" si="311"/>
        <v>0</v>
      </c>
      <c r="O300" s="1335">
        <f>O301+O302</f>
        <v>415000</v>
      </c>
      <c r="P300" s="1620">
        <f>SUM(P301:P302)</f>
        <v>477000</v>
      </c>
      <c r="Q300" s="1313"/>
      <c r="R300" s="1314"/>
      <c r="S300" s="1335">
        <f>SUM(S301:S302)</f>
        <v>477000</v>
      </c>
      <c r="T300" s="1620">
        <f>SUM(T301:T302)</f>
        <v>447000</v>
      </c>
      <c r="U300" s="1313"/>
      <c r="V300" s="1314"/>
      <c r="W300" s="1315">
        <f>SUM(W301:W302)</f>
        <v>447000</v>
      </c>
      <c r="X300" s="1598">
        <f t="shared" si="286"/>
        <v>107.71084337349397</v>
      </c>
      <c r="Y300" s="758">
        <f>'[1]PRIH REBALANS'!$AK$771</f>
        <v>447000</v>
      </c>
      <c r="Z300" s="1135">
        <f>'Zaštita boraca-Prilog br.4'!P6</f>
        <v>447000</v>
      </c>
      <c r="AA300" s="1135">
        <f>'[9]PRIH REBALANS'!$AK$771</f>
        <v>447000</v>
      </c>
      <c r="AB300" s="1293">
        <f t="shared" si="277"/>
        <v>0</v>
      </c>
      <c r="AC300" s="1293">
        <f t="shared" si="281"/>
        <v>0</v>
      </c>
      <c r="AD300" s="1293">
        <f>'Zaštita boraca-Prilog br.4'!P6</f>
        <v>447000</v>
      </c>
      <c r="AE300" s="1293">
        <f t="shared" si="279"/>
        <v>0</v>
      </c>
      <c r="AF300" s="1293"/>
      <c r="AG300" s="1293"/>
      <c r="AH300" s="1294">
        <f t="shared" si="282"/>
        <v>32000</v>
      </c>
      <c r="AI300" s="1294">
        <f t="shared" si="307"/>
        <v>0</v>
      </c>
      <c r="AJ300" s="1293">
        <f t="shared" si="287"/>
        <v>0</v>
      </c>
      <c r="AK300" s="1294">
        <f t="shared" si="304"/>
        <v>0</v>
      </c>
      <c r="AL300" s="1294"/>
      <c r="AM300" s="1294"/>
      <c r="AN300" s="1294"/>
      <c r="AO300" s="1294"/>
      <c r="AP300" s="1294"/>
      <c r="AQ300" s="1294"/>
      <c r="AR300" s="1294">
        <f t="shared" si="295"/>
        <v>0</v>
      </c>
      <c r="AS300" s="1135" t="e">
        <f>#REF!+W305</f>
        <v>#REF!</v>
      </c>
      <c r="AT300" s="668">
        <f>T303+U303+V303-W303</f>
        <v>0</v>
      </c>
      <c r="AU300" s="463">
        <f>SUM(W305:W305)</f>
        <v>2391500</v>
      </c>
      <c r="AV300" s="468">
        <f>T303+U303+V303-W303</f>
        <v>0</v>
      </c>
      <c r="AW300" s="468">
        <f>W303-AV300</f>
        <v>9067667</v>
      </c>
      <c r="AX300" s="668"/>
      <c r="AY300" s="668"/>
      <c r="AZ300" s="668"/>
      <c r="BA300" s="668"/>
      <c r="BB300" s="668"/>
      <c r="BC300" s="437">
        <f>T303+U303+V303+-W303</f>
        <v>0</v>
      </c>
      <c r="BD300" s="437"/>
      <c r="BE300" t="e">
        <f>#REF!/O301*100</f>
        <v>#REF!</v>
      </c>
      <c r="BF300" s="437" t="e">
        <f>BE300-#REF!</f>
        <v>#REF!</v>
      </c>
      <c r="BG300" s="209" t="e">
        <f>#REF!+W305</f>
        <v>#REF!</v>
      </c>
    </row>
    <row r="301" spans="1:60" ht="39" customHeight="1">
      <c r="A301" s="1572"/>
      <c r="B301" s="1573"/>
      <c r="C301" s="1573"/>
      <c r="D301" s="1574"/>
      <c r="E301" s="1574"/>
      <c r="F301" s="1817">
        <v>614200</v>
      </c>
      <c r="G301" s="1851" t="s">
        <v>183</v>
      </c>
      <c r="H301" s="1380" t="e">
        <f>SUM(H302,#REF!)</f>
        <v>#REF!</v>
      </c>
      <c r="I301" s="1380" t="e">
        <f>SUM(I302,#REF!)</f>
        <v>#REF!</v>
      </c>
      <c r="J301" s="1380" t="e">
        <f>SUM(J302,#REF!)</f>
        <v>#REF!</v>
      </c>
      <c r="K301" s="1374" t="e">
        <f>#REF!</f>
        <v>#REF!</v>
      </c>
      <c r="L301" s="1610">
        <v>220000</v>
      </c>
      <c r="M301" s="1333"/>
      <c r="N301" s="1334"/>
      <c r="O301" s="1375">
        <f>L301+M301+N301</f>
        <v>220000</v>
      </c>
      <c r="P301" s="1610">
        <v>280000</v>
      </c>
      <c r="Q301" s="1333"/>
      <c r="R301" s="1334"/>
      <c r="S301" s="1375">
        <f>P301+Q301+R301</f>
        <v>280000</v>
      </c>
      <c r="T301" s="1610">
        <v>250000</v>
      </c>
      <c r="U301" s="1333"/>
      <c r="V301" s="1334"/>
      <c r="W301" s="1375">
        <f>T301+U301+V301</f>
        <v>250000</v>
      </c>
      <c r="X301" s="1578">
        <f t="shared" si="286"/>
        <v>113.63636363636364</v>
      </c>
      <c r="Y301" s="2457"/>
      <c r="Z301" s="1136"/>
      <c r="AA301" s="1136"/>
      <c r="AB301" s="1293">
        <f t="shared" si="277"/>
        <v>0</v>
      </c>
      <c r="AC301" s="1293">
        <f t="shared" si="281"/>
        <v>0</v>
      </c>
      <c r="AD301" s="1293">
        <f t="shared" ref="AD301:AD327" si="312">W301-O301</f>
        <v>30000</v>
      </c>
      <c r="AE301" s="1293">
        <f t="shared" si="279"/>
        <v>0</v>
      </c>
      <c r="AF301" s="1294"/>
      <c r="AG301" s="1294"/>
      <c r="AH301" s="1294">
        <f t="shared" si="282"/>
        <v>30000</v>
      </c>
      <c r="AI301" s="1294">
        <f t="shared" si="307"/>
        <v>0</v>
      </c>
      <c r="AJ301" s="1293">
        <f t="shared" si="287"/>
        <v>0</v>
      </c>
      <c r="AK301" s="1294">
        <f t="shared" si="304"/>
        <v>0</v>
      </c>
      <c r="AL301" s="1294"/>
      <c r="AM301" s="1294"/>
      <c r="AN301" s="1294"/>
      <c r="AO301" s="1294"/>
      <c r="AP301" s="1294"/>
      <c r="AQ301" s="1294"/>
      <c r="AR301" s="1294">
        <f t="shared" si="295"/>
        <v>0</v>
      </c>
      <c r="AS301" s="1136"/>
      <c r="AT301" s="668" t="e">
        <f>#REF!+#REF!+#REF!-#REF!</f>
        <v>#REF!</v>
      </c>
      <c r="AU301" s="463"/>
      <c r="AV301" s="468" t="e">
        <f>#REF!+#REF!+#REF!-#REF!</f>
        <v>#REF!</v>
      </c>
      <c r="AW301" s="468" t="e">
        <f>#REF!-AV301</f>
        <v>#REF!</v>
      </c>
      <c r="AX301" s="463"/>
      <c r="AY301" s="463"/>
      <c r="AZ301" s="463"/>
      <c r="BA301" s="463"/>
      <c r="BB301" s="463"/>
      <c r="BC301" s="437" t="e">
        <f>#REF!+#REF!+#REF!+-#REF!</f>
        <v>#REF!</v>
      </c>
      <c r="BD301" s="437"/>
      <c r="BE301">
        <f t="shared" ref="BE301:BE331" si="313">W305/O302*100</f>
        <v>1226.4102564102566</v>
      </c>
      <c r="BF301" s="437">
        <f t="shared" ref="BF301:BF331" si="314">BE301-X304</f>
        <v>1226.4102564102566</v>
      </c>
    </row>
    <row r="302" spans="1:60" ht="39" customHeight="1">
      <c r="A302" s="1572"/>
      <c r="B302" s="1573"/>
      <c r="C302" s="1573"/>
      <c r="D302" s="1574"/>
      <c r="E302" s="1574"/>
      <c r="F302" s="1817">
        <v>614300</v>
      </c>
      <c r="G302" s="1851" t="s">
        <v>184</v>
      </c>
      <c r="H302" s="1380" t="e">
        <f>SUM(#REF!)</f>
        <v>#REF!</v>
      </c>
      <c r="I302" s="1380" t="e">
        <f>SUM(#REF!)</f>
        <v>#REF!</v>
      </c>
      <c r="J302" s="1380" t="e">
        <f>SUM(#REF!)</f>
        <v>#REF!</v>
      </c>
      <c r="K302" s="1374" t="e">
        <f>H302</f>
        <v>#REF!</v>
      </c>
      <c r="L302" s="1610">
        <v>195000</v>
      </c>
      <c r="M302" s="1333"/>
      <c r="N302" s="1334"/>
      <c r="O302" s="1433">
        <f>L302+M302+N302</f>
        <v>195000</v>
      </c>
      <c r="P302" s="1610">
        <v>197000</v>
      </c>
      <c r="Q302" s="1333"/>
      <c r="R302" s="1334"/>
      <c r="S302" s="1336">
        <f>SUM(P302)</f>
        <v>197000</v>
      </c>
      <c r="T302" s="1610">
        <v>197000</v>
      </c>
      <c r="U302" s="1333"/>
      <c r="V302" s="1334"/>
      <c r="W302" s="1375">
        <f>T302+U302+V302</f>
        <v>197000</v>
      </c>
      <c r="X302" s="1578">
        <f t="shared" si="286"/>
        <v>101.02564102564102</v>
      </c>
      <c r="Y302" s="2457"/>
      <c r="Z302" s="1136"/>
      <c r="AA302" s="1136"/>
      <c r="AB302" s="1293">
        <f t="shared" si="277"/>
        <v>0</v>
      </c>
      <c r="AC302" s="1293">
        <f t="shared" si="281"/>
        <v>0</v>
      </c>
      <c r="AD302" s="1293">
        <f t="shared" si="312"/>
        <v>2000</v>
      </c>
      <c r="AE302" s="1293">
        <f t="shared" si="279"/>
        <v>0</v>
      </c>
      <c r="AF302" s="1294"/>
      <c r="AG302" s="1294"/>
      <c r="AH302" s="1294">
        <f t="shared" si="282"/>
        <v>2000</v>
      </c>
      <c r="AI302" s="1294">
        <f t="shared" si="307"/>
        <v>0</v>
      </c>
      <c r="AJ302" s="1293">
        <f t="shared" si="287"/>
        <v>0</v>
      </c>
      <c r="AK302" s="1294">
        <f t="shared" si="304"/>
        <v>0</v>
      </c>
      <c r="AL302" s="1294"/>
      <c r="AM302" s="1294"/>
      <c r="AN302" s="1294"/>
      <c r="AO302" s="1294"/>
      <c r="AP302" s="1294"/>
      <c r="AQ302" s="1294"/>
      <c r="AR302" s="1294">
        <f t="shared" si="295"/>
        <v>0</v>
      </c>
      <c r="AS302" s="1136"/>
      <c r="AT302" s="668">
        <f t="shared" ref="AT302:AT323" si="315">T305+U305+V305-W305</f>
        <v>0</v>
      </c>
      <c r="AU302" s="463"/>
      <c r="AV302" s="468">
        <f t="shared" ref="AV302:AV323" si="316">T305+U305+V305-W305</f>
        <v>0</v>
      </c>
      <c r="AW302" s="468">
        <f t="shared" ref="AW302:AW332" si="317">W305-AV302</f>
        <v>2391500</v>
      </c>
      <c r="AX302" s="463"/>
      <c r="AY302" s="463"/>
      <c r="AZ302" s="463"/>
      <c r="BA302" s="463"/>
      <c r="BB302" s="463"/>
      <c r="BC302" s="437">
        <f>T305+U305+V305+-W305</f>
        <v>0</v>
      </c>
      <c r="BD302" s="437"/>
      <c r="BE302">
        <f t="shared" si="313"/>
        <v>5.8271065630395187</v>
      </c>
      <c r="BF302" s="437">
        <f t="shared" si="314"/>
        <v>-72.634591398629567</v>
      </c>
    </row>
    <row r="303" spans="1:60" ht="39" customHeight="1">
      <c r="A303" s="1661" t="s">
        <v>463</v>
      </c>
      <c r="B303" s="1618" t="s">
        <v>204</v>
      </c>
      <c r="C303" s="1618" t="s">
        <v>205</v>
      </c>
      <c r="D303" s="1596" t="s">
        <v>319</v>
      </c>
      <c r="E303" s="1596"/>
      <c r="F303" s="1811"/>
      <c r="G303" s="1687" t="s">
        <v>464</v>
      </c>
      <c r="H303" s="1619">
        <f>SUM(H305,H331,H339,H374)</f>
        <v>2205000</v>
      </c>
      <c r="I303" s="1619" t="e">
        <f>SUM(I305,I331,I339,)</f>
        <v>#REF!</v>
      </c>
      <c r="J303" s="1619" t="e">
        <f>SUM(J305,J331,J339,)</f>
        <v>#REF!</v>
      </c>
      <c r="K303" s="1664"/>
      <c r="L303" s="1620">
        <f t="shared" ref="L303:P303" si="318">SUM(L305,L331,L339,L374)</f>
        <v>2722700</v>
      </c>
      <c r="M303" s="1313">
        <f t="shared" si="318"/>
        <v>22288356</v>
      </c>
      <c r="N303" s="1314">
        <f t="shared" si="318"/>
        <v>7011697</v>
      </c>
      <c r="O303" s="1335">
        <f t="shared" si="318"/>
        <v>32022754</v>
      </c>
      <c r="P303" s="1620">
        <f t="shared" si="318"/>
        <v>252000</v>
      </c>
      <c r="Q303" s="1313">
        <f>SUM(Q305,Q331,Q339,)</f>
        <v>3793750</v>
      </c>
      <c r="R303" s="1314">
        <f>SUM(R305,R331,R339,)</f>
        <v>0</v>
      </c>
      <c r="S303" s="1335">
        <f>SUM(S305,S331,S339,)</f>
        <v>4141500</v>
      </c>
      <c r="T303" s="1620">
        <f>SUM(T305,T331,T339,T374)</f>
        <v>2351500</v>
      </c>
      <c r="U303" s="1313">
        <f>SUM(U305,U331,U339,)</f>
        <v>6716167</v>
      </c>
      <c r="V303" s="1314">
        <f t="shared" ref="V303" si="319">SUM(V305,V331,V339,)</f>
        <v>0</v>
      </c>
      <c r="W303" s="1335">
        <f>SUM(W305,W331,W339,W374)</f>
        <v>9067667</v>
      </c>
      <c r="X303" s="1598">
        <f t="shared" si="286"/>
        <v>28.316324698369165</v>
      </c>
      <c r="Y303" s="758">
        <f>'[1]PRIH REBALANS'!$AK$788</f>
        <v>9067667</v>
      </c>
      <c r="Z303" s="1135"/>
      <c r="AA303" s="1135">
        <f>'[9]PRIH REBALANS'!$AK$788</f>
        <v>9100216</v>
      </c>
      <c r="AB303" s="1293">
        <f t="shared" si="277"/>
        <v>0</v>
      </c>
      <c r="AC303" s="1293">
        <f t="shared" si="281"/>
        <v>0</v>
      </c>
      <c r="AD303" s="1293">
        <f t="shared" si="312"/>
        <v>-22955087</v>
      </c>
      <c r="AE303" s="1293">
        <f t="shared" si="279"/>
        <v>0</v>
      </c>
      <c r="AF303" s="1293"/>
      <c r="AG303" s="1293"/>
      <c r="AH303" s="1294">
        <f t="shared" si="282"/>
        <v>-371200</v>
      </c>
      <c r="AI303" s="1294">
        <f t="shared" si="307"/>
        <v>0</v>
      </c>
      <c r="AJ303" s="1293">
        <f t="shared" si="287"/>
        <v>0</v>
      </c>
      <c r="AK303" s="1294">
        <f t="shared" si="304"/>
        <v>0</v>
      </c>
      <c r="AL303" s="1294">
        <f t="shared" ref="AL303:AL334" si="320">T303+U303+V303-W303</f>
        <v>0</v>
      </c>
      <c r="AM303" s="1294"/>
      <c r="AN303" s="1294"/>
      <c r="AO303" s="1294"/>
      <c r="AP303" s="1294"/>
      <c r="AQ303" s="1294"/>
      <c r="AR303" s="1294">
        <f t="shared" si="295"/>
        <v>0</v>
      </c>
      <c r="AS303" s="1135">
        <f>SUM(AS307,AS310,AS314,AS316,AS331,AS339,AS374)</f>
        <v>35627445</v>
      </c>
      <c r="AT303" s="668">
        <f t="shared" si="315"/>
        <v>0</v>
      </c>
      <c r="AU303" s="463">
        <f>SUM(AU307,AU310,AU314,AU316,AU331,AU339,AU374)</f>
        <v>41638205</v>
      </c>
      <c r="AV303" s="468">
        <f t="shared" si="316"/>
        <v>0</v>
      </c>
      <c r="AW303" s="468">
        <f t="shared" si="317"/>
        <v>1866000</v>
      </c>
      <c r="AX303" s="668"/>
      <c r="AY303" s="668"/>
      <c r="AZ303" s="668"/>
      <c r="BA303" s="668"/>
      <c r="BB303" s="668"/>
      <c r="BC303" s="437">
        <f>'[2]PRIH REBALANS'!$AK$802</f>
        <v>32022754.660000004</v>
      </c>
      <c r="BD303" s="437">
        <f>'[2]PRIH REBALANS'!$AG$802</f>
        <v>2722700</v>
      </c>
      <c r="BE303" t="e">
        <f t="shared" si="313"/>
        <v>#DIV/0!</v>
      </c>
      <c r="BF303" s="437" t="e">
        <f t="shared" si="314"/>
        <v>#DIV/0!</v>
      </c>
      <c r="BG303" s="209">
        <f>SUM(BG307:BG316,BG331,BG339,BG374)</f>
        <v>32193612</v>
      </c>
      <c r="BH303" s="209">
        <f>BG303-W306</f>
        <v>30327612</v>
      </c>
    </row>
    <row r="304" spans="1:60" ht="39" customHeight="1">
      <c r="A304" s="1661"/>
      <c r="B304" s="1618"/>
      <c r="C304" s="1618"/>
      <c r="D304" s="1596"/>
      <c r="E304" s="1596"/>
      <c r="F304" s="1811"/>
      <c r="G304" s="1834" t="s">
        <v>268</v>
      </c>
      <c r="H304" s="1619">
        <v>62</v>
      </c>
      <c r="I304" s="1619"/>
      <c r="J304" s="1619"/>
      <c r="K304" s="1664"/>
      <c r="L304" s="1620"/>
      <c r="M304" s="1313"/>
      <c r="N304" s="1314"/>
      <c r="O304" s="1335"/>
      <c r="P304" s="1620"/>
      <c r="Q304" s="1313"/>
      <c r="R304" s="1314"/>
      <c r="S304" s="1335"/>
      <c r="T304" s="1620"/>
      <c r="U304" s="1313"/>
      <c r="V304" s="1314"/>
      <c r="W304" s="1335"/>
      <c r="X304" s="1598"/>
      <c r="Y304" s="758"/>
      <c r="Z304" s="1135"/>
      <c r="AA304" s="1135"/>
      <c r="AB304" s="1293">
        <f t="shared" si="277"/>
        <v>0</v>
      </c>
      <c r="AC304" s="1293">
        <f t="shared" si="281"/>
        <v>0</v>
      </c>
      <c r="AD304" s="1293">
        <f t="shared" si="312"/>
        <v>0</v>
      </c>
      <c r="AE304" s="1293">
        <f t="shared" si="279"/>
        <v>0</v>
      </c>
      <c r="AF304" s="1293"/>
      <c r="AG304" s="1293"/>
      <c r="AH304" s="1294">
        <f t="shared" si="282"/>
        <v>0</v>
      </c>
      <c r="AI304" s="1294">
        <f t="shared" si="307"/>
        <v>0</v>
      </c>
      <c r="AJ304" s="1293">
        <f t="shared" si="287"/>
        <v>0</v>
      </c>
      <c r="AK304" s="1294">
        <f t="shared" si="304"/>
        <v>0</v>
      </c>
      <c r="AL304" s="1294">
        <f t="shared" si="320"/>
        <v>0</v>
      </c>
      <c r="AM304" s="1294"/>
      <c r="AN304" s="1294"/>
      <c r="AO304" s="1294"/>
      <c r="AP304" s="1294"/>
      <c r="AQ304" s="1294"/>
      <c r="AR304" s="1294">
        <f t="shared" si="295"/>
        <v>0</v>
      </c>
      <c r="AS304" s="1135"/>
      <c r="AT304" s="668">
        <f t="shared" si="315"/>
        <v>0</v>
      </c>
      <c r="AU304" s="463">
        <v>32249505</v>
      </c>
      <c r="AV304" s="468">
        <f t="shared" si="316"/>
        <v>0</v>
      </c>
      <c r="AW304" s="468">
        <f t="shared" si="317"/>
        <v>1674000</v>
      </c>
      <c r="AX304" s="668"/>
      <c r="AY304" s="668"/>
      <c r="AZ304" s="668"/>
      <c r="BA304" s="668"/>
      <c r="BB304" s="668"/>
      <c r="BC304" s="437">
        <f>T307+U307+V307+-W307</f>
        <v>0</v>
      </c>
      <c r="BD304" s="437"/>
      <c r="BE304">
        <f t="shared" si="313"/>
        <v>37.861091134336661</v>
      </c>
      <c r="BF304" s="437">
        <f t="shared" si="314"/>
        <v>-62.138908865663339</v>
      </c>
    </row>
    <row r="305" spans="1:59" ht="39" customHeight="1">
      <c r="A305" s="1572"/>
      <c r="B305" s="1573"/>
      <c r="C305" s="1573"/>
      <c r="D305" s="1373" t="s">
        <v>319</v>
      </c>
      <c r="E305" s="1373"/>
      <c r="F305" s="1795"/>
      <c r="G305" s="1835" t="s">
        <v>208</v>
      </c>
      <c r="H305" s="1380">
        <f>SUM(H306,H314,H316,)</f>
        <v>2077500</v>
      </c>
      <c r="I305" s="1380">
        <f>SUM(I306,I314,I316,)</f>
        <v>749962</v>
      </c>
      <c r="J305" s="1380">
        <f>SUM(J306,J314,J316,)</f>
        <v>0</v>
      </c>
      <c r="K305" s="1665"/>
      <c r="L305" s="1601">
        <f t="shared" ref="L305:S305" si="321">SUM(L306,L314,L316,)</f>
        <v>2168200</v>
      </c>
      <c r="M305" s="1303">
        <f t="shared" si="321"/>
        <v>879784</v>
      </c>
      <c r="N305" s="1304">
        <f t="shared" si="321"/>
        <v>0</v>
      </c>
      <c r="O305" s="1336">
        <f>SUM(O306,O314,O316,)</f>
        <v>3047984</v>
      </c>
      <c r="P305" s="1601">
        <f t="shared" si="321"/>
        <v>192000</v>
      </c>
      <c r="Q305" s="1303">
        <f t="shared" si="321"/>
        <v>170000</v>
      </c>
      <c r="R305" s="1304">
        <f t="shared" si="321"/>
        <v>0</v>
      </c>
      <c r="S305" s="1336">
        <f t="shared" si="321"/>
        <v>2052500</v>
      </c>
      <c r="T305" s="1601">
        <f t="shared" ref="T305:V305" si="322">SUM(T306,T314,T316,)</f>
        <v>2191500</v>
      </c>
      <c r="U305" s="1303">
        <f t="shared" si="322"/>
        <v>200000</v>
      </c>
      <c r="V305" s="1304">
        <f t="shared" si="322"/>
        <v>0</v>
      </c>
      <c r="W305" s="1336">
        <f>SUM(W306,W314,W316,)</f>
        <v>2391500</v>
      </c>
      <c r="X305" s="1578">
        <f t="shared" si="286"/>
        <v>78.461697961669088</v>
      </c>
      <c r="Y305" s="2457">
        <f>'[1]PRIH REBALANS'!$AK$790</f>
        <v>2391500</v>
      </c>
      <c r="Z305" s="1136"/>
      <c r="AA305" s="1136"/>
      <c r="AB305" s="1293">
        <f t="shared" si="277"/>
        <v>0</v>
      </c>
      <c r="AC305" s="1293">
        <f t="shared" si="281"/>
        <v>0</v>
      </c>
      <c r="AD305" s="1293">
        <f t="shared" si="312"/>
        <v>-656484</v>
      </c>
      <c r="AE305" s="1293">
        <f t="shared" si="279"/>
        <v>0</v>
      </c>
      <c r="AF305" s="1294"/>
      <c r="AG305" s="1294"/>
      <c r="AH305" s="1294">
        <f t="shared" si="282"/>
        <v>23300</v>
      </c>
      <c r="AI305" s="1294">
        <f t="shared" si="307"/>
        <v>0</v>
      </c>
      <c r="AJ305" s="1293">
        <f t="shared" si="287"/>
        <v>0</v>
      </c>
      <c r="AK305" s="1294">
        <f t="shared" si="304"/>
        <v>0</v>
      </c>
      <c r="AL305" s="1294">
        <f t="shared" si="320"/>
        <v>0</v>
      </c>
      <c r="AM305" s="1294"/>
      <c r="AN305" s="1294"/>
      <c r="AO305" s="1294"/>
      <c r="AP305" s="1294"/>
      <c r="AQ305" s="1294"/>
      <c r="AR305" s="1294">
        <f t="shared" si="295"/>
        <v>0</v>
      </c>
      <c r="AS305" s="1136"/>
      <c r="AT305" s="668">
        <f t="shared" si="315"/>
        <v>0</v>
      </c>
      <c r="AU305" s="463">
        <f>AU304-O303</f>
        <v>226751</v>
      </c>
      <c r="AV305" s="468">
        <f t="shared" si="316"/>
        <v>0</v>
      </c>
      <c r="AW305" s="468">
        <f t="shared" si="317"/>
        <v>1154000</v>
      </c>
      <c r="AX305" s="463">
        <f>AV305-W308</f>
        <v>-1154000</v>
      </c>
      <c r="AY305" s="463"/>
      <c r="AZ305" s="463"/>
      <c r="BA305" s="463"/>
      <c r="BB305" s="463"/>
      <c r="BC305" s="437">
        <f>'[2]PRIH REBALANS'!$AK$804</f>
        <v>3047984</v>
      </c>
      <c r="BD305" s="437">
        <f>'[12]BUDŽET 2021  ŠTA JE'!$Y$810</f>
        <v>1972540.2359999996</v>
      </c>
      <c r="BE305">
        <f t="shared" si="313"/>
        <v>27.904480815669441</v>
      </c>
      <c r="BF305" s="437">
        <f t="shared" si="314"/>
        <v>-72.095519184330556</v>
      </c>
    </row>
    <row r="306" spans="1:59" ht="39" customHeight="1">
      <c r="A306" s="1572"/>
      <c r="B306" s="1573"/>
      <c r="C306" s="1573"/>
      <c r="D306" s="1373" t="s">
        <v>554</v>
      </c>
      <c r="E306" s="1373"/>
      <c r="F306" s="1795">
        <v>611000</v>
      </c>
      <c r="G306" s="1836" t="s">
        <v>718</v>
      </c>
      <c r="H306" s="1380">
        <f>SUM(H307,H310)</f>
        <v>1770000</v>
      </c>
      <c r="I306" s="1380">
        <f>SUM(I307,I310)</f>
        <v>0</v>
      </c>
      <c r="J306" s="1380">
        <f>SUM(J307,J310)</f>
        <v>0</v>
      </c>
      <c r="K306" s="1665"/>
      <c r="L306" s="1601">
        <f t="shared" ref="L306:S306" si="323">SUM(L307,L310)</f>
        <v>1863500</v>
      </c>
      <c r="M306" s="1303">
        <f t="shared" si="323"/>
        <v>0</v>
      </c>
      <c r="N306" s="1304">
        <f t="shared" si="323"/>
        <v>0</v>
      </c>
      <c r="O306" s="1336">
        <f t="shared" si="323"/>
        <v>1863500</v>
      </c>
      <c r="P306" s="1601">
        <f t="shared" si="323"/>
        <v>0</v>
      </c>
      <c r="Q306" s="1303">
        <f t="shared" si="323"/>
        <v>0</v>
      </c>
      <c r="R306" s="1304">
        <f t="shared" si="323"/>
        <v>0</v>
      </c>
      <c r="S306" s="1336">
        <f t="shared" si="323"/>
        <v>1690500</v>
      </c>
      <c r="T306" s="1601">
        <f t="shared" ref="T306:W306" si="324">SUM(T307,T310)</f>
        <v>1866000</v>
      </c>
      <c r="U306" s="1303">
        <f t="shared" si="324"/>
        <v>0</v>
      </c>
      <c r="V306" s="1304">
        <f t="shared" si="324"/>
        <v>0</v>
      </c>
      <c r="W306" s="1336">
        <f t="shared" si="324"/>
        <v>1866000</v>
      </c>
      <c r="X306" s="1578">
        <f t="shared" si="286"/>
        <v>100.13415615776763</v>
      </c>
      <c r="Y306" s="2457">
        <f>'[1]PRIH REBALANS'!$AK$791</f>
        <v>1866000</v>
      </c>
      <c r="Z306" s="1136"/>
      <c r="AA306" s="1136"/>
      <c r="AB306" s="1293">
        <f t="shared" si="277"/>
        <v>0</v>
      </c>
      <c r="AC306" s="1293">
        <f t="shared" si="281"/>
        <v>0</v>
      </c>
      <c r="AD306" s="1293">
        <f t="shared" si="312"/>
        <v>2500</v>
      </c>
      <c r="AE306" s="1293">
        <f t="shared" si="279"/>
        <v>0</v>
      </c>
      <c r="AF306" s="1294"/>
      <c r="AG306" s="1294"/>
      <c r="AH306" s="1294">
        <f t="shared" si="282"/>
        <v>2500</v>
      </c>
      <c r="AI306" s="1294">
        <f t="shared" si="307"/>
        <v>0</v>
      </c>
      <c r="AJ306" s="1293">
        <f t="shared" si="287"/>
        <v>0</v>
      </c>
      <c r="AK306" s="1294">
        <f t="shared" si="304"/>
        <v>0</v>
      </c>
      <c r="AL306" s="1294">
        <f t="shared" si="320"/>
        <v>0</v>
      </c>
      <c r="AM306" s="1294"/>
      <c r="AN306" s="1294"/>
      <c r="AO306" s="1294"/>
      <c r="AP306" s="1294"/>
      <c r="AQ306" s="1294"/>
      <c r="AR306" s="1294">
        <f t="shared" si="295"/>
        <v>0</v>
      </c>
      <c r="AS306" s="1136"/>
      <c r="AT306" s="668">
        <f t="shared" si="315"/>
        <v>0</v>
      </c>
      <c r="AU306" s="463"/>
      <c r="AV306" s="468">
        <f t="shared" si="316"/>
        <v>0</v>
      </c>
      <c r="AW306" s="468">
        <f t="shared" si="317"/>
        <v>520000</v>
      </c>
      <c r="AX306" s="463"/>
      <c r="AY306" s="463"/>
      <c r="AZ306" s="463"/>
      <c r="BA306" s="463"/>
      <c r="BB306" s="463"/>
      <c r="BC306" s="437">
        <f>T309+U309+V309+-W309</f>
        <v>0</v>
      </c>
      <c r="BD306" s="437">
        <f t="shared" ref="BD306:BD331" si="325">BC306-W309</f>
        <v>-520000</v>
      </c>
      <c r="BE306">
        <f t="shared" si="313"/>
        <v>11.469534050179211</v>
      </c>
      <c r="BF306" s="437">
        <f t="shared" si="314"/>
        <v>-88.530465949820794</v>
      </c>
    </row>
    <row r="307" spans="1:59" ht="39" customHeight="1">
      <c r="A307" s="1572"/>
      <c r="B307" s="1573"/>
      <c r="C307" s="1573"/>
      <c r="D307" s="1373" t="s">
        <v>1563</v>
      </c>
      <c r="E307" s="1373"/>
      <c r="F307" s="1795" t="s">
        <v>166</v>
      </c>
      <c r="G307" s="1836" t="s">
        <v>657</v>
      </c>
      <c r="H307" s="1633">
        <f>SUM(H308:H309)</f>
        <v>1610000</v>
      </c>
      <c r="I307" s="1380">
        <f>SUM(I308:I309)</f>
        <v>0</v>
      </c>
      <c r="J307" s="1380">
        <f>SUM(J308:J309)</f>
        <v>0</v>
      </c>
      <c r="K307" s="1665"/>
      <c r="L307" s="1632">
        <f t="shared" ref="L307:O307" si="326">SUM(L308:L309)</f>
        <v>1674000</v>
      </c>
      <c r="M307" s="1303">
        <f t="shared" si="326"/>
        <v>0</v>
      </c>
      <c r="N307" s="1304">
        <f t="shared" si="326"/>
        <v>0</v>
      </c>
      <c r="O307" s="1336">
        <f t="shared" si="326"/>
        <v>1674000</v>
      </c>
      <c r="P307" s="1632">
        <f t="shared" ref="P307:W307" si="327">SUM(P308:P309)</f>
        <v>0</v>
      </c>
      <c r="Q307" s="1303">
        <f t="shared" si="327"/>
        <v>0</v>
      </c>
      <c r="R307" s="1304">
        <f t="shared" si="327"/>
        <v>0</v>
      </c>
      <c r="S307" s="1336">
        <f t="shared" si="327"/>
        <v>1690500</v>
      </c>
      <c r="T307" s="1632">
        <f>SUM(T308:T309)</f>
        <v>1674000</v>
      </c>
      <c r="U307" s="1303">
        <f t="shared" si="327"/>
        <v>0</v>
      </c>
      <c r="V307" s="1304">
        <f t="shared" si="327"/>
        <v>0</v>
      </c>
      <c r="W307" s="1336">
        <f t="shared" si="327"/>
        <v>1674000</v>
      </c>
      <c r="X307" s="1578">
        <f t="shared" si="286"/>
        <v>100</v>
      </c>
      <c r="Y307" s="2457">
        <f>'[1]PRIH REBALANS'!$AK$792</f>
        <v>1674000</v>
      </c>
      <c r="Z307" s="1136"/>
      <c r="AA307" s="1136">
        <f>'[9]PRIH REBALANS'!$AK$792</f>
        <v>1674000</v>
      </c>
      <c r="AB307" s="1293">
        <f t="shared" si="277"/>
        <v>0</v>
      </c>
      <c r="AC307" s="1293">
        <f t="shared" si="281"/>
        <v>0</v>
      </c>
      <c r="AD307" s="1293">
        <f t="shared" si="312"/>
        <v>0</v>
      </c>
      <c r="AE307" s="1293">
        <f t="shared" si="279"/>
        <v>0</v>
      </c>
      <c r="AF307" s="1294"/>
      <c r="AG307" s="1294"/>
      <c r="AH307" s="1294">
        <f t="shared" si="282"/>
        <v>0</v>
      </c>
      <c r="AI307" s="1294">
        <f t="shared" si="307"/>
        <v>0</v>
      </c>
      <c r="AJ307" s="1293">
        <f t="shared" si="287"/>
        <v>0</v>
      </c>
      <c r="AK307" s="1294">
        <f t="shared" si="304"/>
        <v>0</v>
      </c>
      <c r="AL307" s="1294">
        <f t="shared" si="320"/>
        <v>0</v>
      </c>
      <c r="AM307" s="1294"/>
      <c r="AN307" s="1294"/>
      <c r="AO307" s="1294"/>
      <c r="AP307" s="1294"/>
      <c r="AQ307" s="1294"/>
      <c r="AR307" s="1294">
        <f t="shared" si="295"/>
        <v>0</v>
      </c>
      <c r="AS307" s="1136">
        <f>SUM(W311:W312)</f>
        <v>160000</v>
      </c>
      <c r="AT307" s="668">
        <f t="shared" si="315"/>
        <v>0</v>
      </c>
      <c r="AU307" s="463">
        <f>SUM(W311:W312)</f>
        <v>160000</v>
      </c>
      <c r="AV307" s="468">
        <f t="shared" si="316"/>
        <v>0</v>
      </c>
      <c r="AW307" s="468">
        <f t="shared" si="317"/>
        <v>192000</v>
      </c>
      <c r="AX307" s="463"/>
      <c r="AY307" s="463"/>
      <c r="AZ307" s="463"/>
      <c r="BA307" s="463"/>
      <c r="BB307" s="463"/>
      <c r="BC307" s="437">
        <f>'[2]PRIH REBALANS'!$AK$806</f>
        <v>1674000</v>
      </c>
      <c r="BD307" s="437">
        <f t="shared" si="325"/>
        <v>1482000</v>
      </c>
      <c r="BE307">
        <f t="shared" si="313"/>
        <v>1.733102253032929</v>
      </c>
      <c r="BF307" s="437">
        <f t="shared" si="314"/>
        <v>-99.586158960687399</v>
      </c>
      <c r="BG307" s="209">
        <f>SUM(W311:W312)</f>
        <v>160000</v>
      </c>
    </row>
    <row r="308" spans="1:59" ht="39" customHeight="1">
      <c r="A308" s="1572"/>
      <c r="B308" s="1573"/>
      <c r="C308" s="1573"/>
      <c r="D308" s="1373" t="s">
        <v>1564</v>
      </c>
      <c r="E308" s="1373"/>
      <c r="F308" s="1796" t="s">
        <v>209</v>
      </c>
      <c r="G308" s="1837" t="s">
        <v>676</v>
      </c>
      <c r="H308" s="1608">
        <v>1110000</v>
      </c>
      <c r="I308" s="1575"/>
      <c r="J308" s="1575"/>
      <c r="K308" s="1665"/>
      <c r="L308" s="1627">
        <v>1154000</v>
      </c>
      <c r="M308" s="1301"/>
      <c r="N308" s="1302"/>
      <c r="O308" s="1375">
        <f>SUM(L308)</f>
        <v>1154000</v>
      </c>
      <c r="P308" s="1627"/>
      <c r="Q308" s="1301"/>
      <c r="R308" s="1302"/>
      <c r="S308" s="1375">
        <v>1160250</v>
      </c>
      <c r="T308" s="1627">
        <v>1154000</v>
      </c>
      <c r="U308" s="1301"/>
      <c r="V308" s="1302"/>
      <c r="W308" s="1375">
        <f>SUM(T308)</f>
        <v>1154000</v>
      </c>
      <c r="X308" s="1578">
        <f t="shared" si="286"/>
        <v>100</v>
      </c>
      <c r="Y308" s="2457"/>
      <c r="Z308" s="1136"/>
      <c r="AA308" s="1136"/>
      <c r="AB308" s="1293">
        <f t="shared" si="277"/>
        <v>0</v>
      </c>
      <c r="AC308" s="1293">
        <f t="shared" si="281"/>
        <v>0</v>
      </c>
      <c r="AD308" s="1293">
        <f t="shared" si="312"/>
        <v>0</v>
      </c>
      <c r="AE308" s="1293">
        <f t="shared" si="279"/>
        <v>0</v>
      </c>
      <c r="AF308" s="1294"/>
      <c r="AG308" s="1294"/>
      <c r="AH308" s="1294">
        <f t="shared" si="282"/>
        <v>0</v>
      </c>
      <c r="AI308" s="1294">
        <f t="shared" si="307"/>
        <v>0</v>
      </c>
      <c r="AJ308" s="1293">
        <f t="shared" si="287"/>
        <v>0</v>
      </c>
      <c r="AK308" s="1294">
        <f t="shared" si="304"/>
        <v>0</v>
      </c>
      <c r="AL308" s="1294">
        <f t="shared" si="320"/>
        <v>0</v>
      </c>
      <c r="AM308" s="1294"/>
      <c r="AN308" s="1294"/>
      <c r="AO308" s="1294"/>
      <c r="AP308" s="1294"/>
      <c r="AQ308" s="1294"/>
      <c r="AR308" s="1294">
        <f t="shared" ref="AR308:AR339" si="328">T308+U308+V308-W308</f>
        <v>0</v>
      </c>
      <c r="AS308" s="1136"/>
      <c r="AT308" s="668">
        <f t="shared" si="315"/>
        <v>0</v>
      </c>
      <c r="AU308" s="463"/>
      <c r="AV308" s="468">
        <f t="shared" si="316"/>
        <v>0</v>
      </c>
      <c r="AW308" s="468">
        <f t="shared" si="317"/>
        <v>20000</v>
      </c>
      <c r="AX308" s="272"/>
      <c r="AY308" s="272"/>
      <c r="AZ308" s="272"/>
      <c r="BA308" s="272"/>
      <c r="BB308" s="272"/>
      <c r="BC308" s="437">
        <f>T311+U311+V311+-W311</f>
        <v>0</v>
      </c>
      <c r="BD308" s="437">
        <f t="shared" si="325"/>
        <v>-20000</v>
      </c>
      <c r="BE308">
        <f t="shared" si="313"/>
        <v>26.923076923076923</v>
      </c>
      <c r="BF308" s="437">
        <f t="shared" si="314"/>
        <v>-74.599765716516984</v>
      </c>
    </row>
    <row r="309" spans="1:59" ht="39" customHeight="1">
      <c r="A309" s="1572"/>
      <c r="B309" s="1573"/>
      <c r="C309" s="1573"/>
      <c r="D309" s="1373" t="s">
        <v>1565</v>
      </c>
      <c r="E309" s="1373"/>
      <c r="F309" s="1796" t="s">
        <v>211</v>
      </c>
      <c r="G309" s="1838" t="s">
        <v>659</v>
      </c>
      <c r="H309" s="1575">
        <v>500000</v>
      </c>
      <c r="I309" s="1380"/>
      <c r="J309" s="1380"/>
      <c r="K309" s="1665"/>
      <c r="L309" s="1577">
        <v>520000</v>
      </c>
      <c r="M309" s="1303"/>
      <c r="N309" s="1304"/>
      <c r="O309" s="1375">
        <f>SUM(L309)</f>
        <v>520000</v>
      </c>
      <c r="P309" s="1577"/>
      <c r="Q309" s="1303"/>
      <c r="R309" s="1304"/>
      <c r="S309" s="1375">
        <v>530250</v>
      </c>
      <c r="T309" s="1577">
        <v>520000</v>
      </c>
      <c r="U309" s="1303"/>
      <c r="V309" s="1304"/>
      <c r="W309" s="1375">
        <f>SUM(T309)</f>
        <v>520000</v>
      </c>
      <c r="X309" s="1578">
        <f t="shared" si="286"/>
        <v>100</v>
      </c>
      <c r="Y309" s="2457"/>
      <c r="Z309" s="1136"/>
      <c r="AA309" s="1136"/>
      <c r="AB309" s="1293">
        <f t="shared" si="277"/>
        <v>0</v>
      </c>
      <c r="AC309" s="1293">
        <f t="shared" si="281"/>
        <v>0</v>
      </c>
      <c r="AD309" s="1293">
        <f t="shared" si="312"/>
        <v>0</v>
      </c>
      <c r="AE309" s="1293">
        <f t="shared" si="279"/>
        <v>0</v>
      </c>
      <c r="AF309" s="1294"/>
      <c r="AG309" s="1294"/>
      <c r="AH309" s="1294">
        <f t="shared" si="282"/>
        <v>0</v>
      </c>
      <c r="AI309" s="1294">
        <f t="shared" si="307"/>
        <v>0</v>
      </c>
      <c r="AJ309" s="1293">
        <f t="shared" si="287"/>
        <v>0</v>
      </c>
      <c r="AK309" s="1294">
        <f t="shared" si="304"/>
        <v>0</v>
      </c>
      <c r="AL309" s="1294">
        <f t="shared" si="320"/>
        <v>0</v>
      </c>
      <c r="AM309" s="1294"/>
      <c r="AN309" s="1294"/>
      <c r="AO309" s="1294"/>
      <c r="AP309" s="1294"/>
      <c r="AQ309" s="1294"/>
      <c r="AR309" s="1294">
        <f t="shared" si="328"/>
        <v>0</v>
      </c>
      <c r="AS309" s="1136"/>
      <c r="AT309" s="668">
        <f t="shared" si="315"/>
        <v>0</v>
      </c>
      <c r="AU309" s="463"/>
      <c r="AV309" s="468">
        <f t="shared" si="316"/>
        <v>0</v>
      </c>
      <c r="AW309" s="468">
        <f t="shared" si="317"/>
        <v>140000</v>
      </c>
      <c r="AX309" s="272"/>
      <c r="AY309" s="272"/>
      <c r="AZ309" s="272"/>
      <c r="BA309" s="272"/>
      <c r="BB309" s="272"/>
      <c r="BC309" s="437">
        <f>T312+U312+V312+-W312</f>
        <v>0</v>
      </c>
      <c r="BD309" s="437">
        <f t="shared" si="325"/>
        <v>-140000</v>
      </c>
      <c r="BE309">
        <f t="shared" si="313"/>
        <v>16.886543535620053</v>
      </c>
      <c r="BF309" s="437">
        <f t="shared" si="314"/>
        <v>-84.70997315523627</v>
      </c>
    </row>
    <row r="310" spans="1:59" ht="39" customHeight="1">
      <c r="A310" s="1572"/>
      <c r="B310" s="1573"/>
      <c r="C310" s="1573"/>
      <c r="D310" s="1373" t="s">
        <v>1568</v>
      </c>
      <c r="E310" s="1378" t="s">
        <v>206</v>
      </c>
      <c r="F310" s="1795">
        <v>611200</v>
      </c>
      <c r="G310" s="1836" t="s">
        <v>213</v>
      </c>
      <c r="H310" s="1380">
        <f t="shared" ref="H310:J310" si="329">SUM(H311:H313)</f>
        <v>160000</v>
      </c>
      <c r="I310" s="1380">
        <f t="shared" si="329"/>
        <v>0</v>
      </c>
      <c r="J310" s="1380">
        <f t="shared" si="329"/>
        <v>0</v>
      </c>
      <c r="K310" s="1665"/>
      <c r="L310" s="1601">
        <f>SUM(L311:L313)</f>
        <v>189500</v>
      </c>
      <c r="M310" s="1303">
        <f>SUM(M311:M313)</f>
        <v>0</v>
      </c>
      <c r="N310" s="1304">
        <f>SUM(N311:N313)</f>
        <v>0</v>
      </c>
      <c r="O310" s="1336">
        <f t="shared" ref="O310" si="330">SUM(L310:N310)</f>
        <v>189500</v>
      </c>
      <c r="P310" s="1601">
        <f>SUM(P311:P313)</f>
        <v>0</v>
      </c>
      <c r="Q310" s="1303">
        <f>SUM(Q311:Q313)</f>
        <v>0</v>
      </c>
      <c r="R310" s="1304">
        <f>SUM(R311:R313)</f>
        <v>0</v>
      </c>
      <c r="S310" s="1336">
        <f t="shared" ref="S310" si="331">SUM(P310:R310)</f>
        <v>0</v>
      </c>
      <c r="T310" s="1601">
        <f>SUM(T311:T313)</f>
        <v>192000</v>
      </c>
      <c r="U310" s="1303">
        <f>SUM(U311:U313)</f>
        <v>0</v>
      </c>
      <c r="V310" s="1304">
        <f>SUM(V311:V313)</f>
        <v>0</v>
      </c>
      <c r="W310" s="1336">
        <f t="shared" ref="W310" si="332">SUM(T310:V310)</f>
        <v>192000</v>
      </c>
      <c r="X310" s="1578">
        <f t="shared" si="286"/>
        <v>101.31926121372032</v>
      </c>
      <c r="Y310" s="2457">
        <f>'[1]PRIH REBALANS'!$AK$797</f>
        <v>192000</v>
      </c>
      <c r="Z310" s="1136"/>
      <c r="AA310" s="1136">
        <f>'[9]PRIH REBALANS'!$AK$797</f>
        <v>192000</v>
      </c>
      <c r="AB310" s="1293">
        <f t="shared" si="277"/>
        <v>0</v>
      </c>
      <c r="AC310" s="1293">
        <f t="shared" si="281"/>
        <v>0</v>
      </c>
      <c r="AD310" s="1293">
        <f t="shared" si="312"/>
        <v>2500</v>
      </c>
      <c r="AE310" s="1293">
        <f t="shared" si="279"/>
        <v>0</v>
      </c>
      <c r="AF310" s="1294"/>
      <c r="AG310" s="1294"/>
      <c r="AH310" s="1294">
        <f t="shared" si="282"/>
        <v>2500</v>
      </c>
      <c r="AI310" s="1294">
        <f t="shared" si="307"/>
        <v>0</v>
      </c>
      <c r="AJ310" s="1293">
        <f t="shared" si="287"/>
        <v>0</v>
      </c>
      <c r="AK310" s="1294">
        <f t="shared" si="304"/>
        <v>0</v>
      </c>
      <c r="AL310" s="1294">
        <f t="shared" si="320"/>
        <v>0</v>
      </c>
      <c r="AM310" s="1294"/>
      <c r="AN310" s="1294"/>
      <c r="AO310" s="1294"/>
      <c r="AP310" s="1294"/>
      <c r="AQ310" s="1294"/>
      <c r="AR310" s="1294">
        <f t="shared" si="328"/>
        <v>0</v>
      </c>
      <c r="AS310" s="1136">
        <f>SUM(W314:W316)</f>
        <v>701500</v>
      </c>
      <c r="AT310" s="668">
        <f t="shared" si="315"/>
        <v>0</v>
      </c>
      <c r="AU310" s="463">
        <f>SUM(W314:W316)</f>
        <v>701500</v>
      </c>
      <c r="AV310" s="468">
        <f t="shared" si="316"/>
        <v>0</v>
      </c>
      <c r="AW310" s="468">
        <f t="shared" si="317"/>
        <v>32000</v>
      </c>
      <c r="AX310" s="463"/>
      <c r="AY310" s="463"/>
      <c r="AZ310" s="463"/>
      <c r="BA310" s="463"/>
      <c r="BB310" s="463"/>
      <c r="BC310" s="437">
        <f>'[2]PRIH REBALANS'!$AK$811</f>
        <v>189500</v>
      </c>
      <c r="BD310" s="437">
        <f t="shared" si="325"/>
        <v>157500</v>
      </c>
      <c r="BE310">
        <f t="shared" si="313"/>
        <v>893.40101522842644</v>
      </c>
      <c r="BF310" s="437">
        <f t="shared" si="314"/>
        <v>793.40101522842644</v>
      </c>
      <c r="BG310" s="209">
        <f>SUM(W314:W316)</f>
        <v>701500</v>
      </c>
    </row>
    <row r="311" spans="1:59" ht="39" customHeight="1">
      <c r="A311" s="1572"/>
      <c r="B311" s="1573"/>
      <c r="C311" s="1573"/>
      <c r="D311" s="1373" t="s">
        <v>1569</v>
      </c>
      <c r="E311" s="1378"/>
      <c r="F311" s="1796">
        <v>611211</v>
      </c>
      <c r="G311" s="1838" t="s">
        <v>660</v>
      </c>
      <c r="H311" s="1608">
        <v>17000</v>
      </c>
      <c r="I311" s="1575"/>
      <c r="J311" s="1575"/>
      <c r="K311" s="1665"/>
      <c r="L311" s="1623">
        <v>19700</v>
      </c>
      <c r="M311" s="1301"/>
      <c r="N311" s="1302"/>
      <c r="O311" s="1375">
        <f>SUM(L311:N311)</f>
        <v>19700</v>
      </c>
      <c r="P311" s="1627"/>
      <c r="Q311" s="1301"/>
      <c r="R311" s="1302"/>
      <c r="S311" s="1375">
        <v>18000</v>
      </c>
      <c r="T311" s="1627">
        <v>20000</v>
      </c>
      <c r="U311" s="1301"/>
      <c r="V311" s="1302"/>
      <c r="W311" s="1375">
        <f>SUM(T311)</f>
        <v>20000</v>
      </c>
      <c r="X311" s="1578">
        <f t="shared" si="286"/>
        <v>101.5228426395939</v>
      </c>
      <c r="Y311" s="2457"/>
      <c r="Z311" s="1136"/>
      <c r="AA311" s="1136"/>
      <c r="AB311" s="1293">
        <f t="shared" si="277"/>
        <v>0</v>
      </c>
      <c r="AC311" s="1293">
        <f t="shared" si="281"/>
        <v>0</v>
      </c>
      <c r="AD311" s="1293">
        <f t="shared" si="312"/>
        <v>300</v>
      </c>
      <c r="AE311" s="1293">
        <f t="shared" si="279"/>
        <v>0</v>
      </c>
      <c r="AF311" s="1294"/>
      <c r="AG311" s="1294"/>
      <c r="AH311" s="1294">
        <f t="shared" si="282"/>
        <v>300</v>
      </c>
      <c r="AI311" s="1294">
        <f t="shared" si="307"/>
        <v>0</v>
      </c>
      <c r="AJ311" s="1293">
        <f t="shared" si="287"/>
        <v>0</v>
      </c>
      <c r="AK311" s="1294">
        <f t="shared" si="304"/>
        <v>0</v>
      </c>
      <c r="AL311" s="1294">
        <f t="shared" si="320"/>
        <v>0</v>
      </c>
      <c r="AM311" s="1294"/>
      <c r="AN311" s="1294"/>
      <c r="AO311" s="1294"/>
      <c r="AP311" s="1294"/>
      <c r="AQ311" s="1294"/>
      <c r="AR311" s="1294">
        <f t="shared" si="328"/>
        <v>0</v>
      </c>
      <c r="AS311" s="1136"/>
      <c r="AT311" s="668">
        <f t="shared" si="315"/>
        <v>0</v>
      </c>
      <c r="AU311" s="463"/>
      <c r="AV311" s="468">
        <f t="shared" si="316"/>
        <v>0</v>
      </c>
      <c r="AW311" s="468">
        <f t="shared" si="317"/>
        <v>176000</v>
      </c>
      <c r="AX311" s="272"/>
      <c r="AY311" s="272"/>
      <c r="AZ311" s="272"/>
      <c r="BA311" s="272"/>
      <c r="BB311" s="272"/>
      <c r="BC311" s="437">
        <f>T314+U314+V314+-W314</f>
        <v>0</v>
      </c>
      <c r="BD311" s="437">
        <f t="shared" si="325"/>
        <v>-176000</v>
      </c>
      <c r="BE311">
        <f t="shared" si="313"/>
        <v>127.72133526850509</v>
      </c>
      <c r="BF311" s="437">
        <f t="shared" si="314"/>
        <v>27.550589679432804</v>
      </c>
    </row>
    <row r="312" spans="1:59" ht="39" customHeight="1">
      <c r="A312" s="1572"/>
      <c r="B312" s="1573"/>
      <c r="C312" s="1573"/>
      <c r="D312" s="1373" t="s">
        <v>1570</v>
      </c>
      <c r="E312" s="1574"/>
      <c r="F312" s="1797">
        <v>611221</v>
      </c>
      <c r="G312" s="1837" t="s">
        <v>661</v>
      </c>
      <c r="H312" s="1608">
        <v>113000</v>
      </c>
      <c r="I312" s="1575"/>
      <c r="J312" s="1575"/>
      <c r="K312" s="1665"/>
      <c r="L312" s="1627">
        <v>137800</v>
      </c>
      <c r="M312" s="1301"/>
      <c r="N312" s="1302"/>
      <c r="O312" s="1375">
        <f t="shared" ref="O312:O314" si="333">SUM(L312:N312)</f>
        <v>137800</v>
      </c>
      <c r="P312" s="1627"/>
      <c r="Q312" s="1301"/>
      <c r="R312" s="1302"/>
      <c r="S312" s="1375">
        <f>SUM(P312)</f>
        <v>0</v>
      </c>
      <c r="T312" s="1627">
        <v>140000</v>
      </c>
      <c r="U312" s="1301"/>
      <c r="V312" s="1302"/>
      <c r="W312" s="1375">
        <f t="shared" ref="W312:W313" si="334">SUM(T312)</f>
        <v>140000</v>
      </c>
      <c r="X312" s="1578">
        <f t="shared" si="286"/>
        <v>101.59651669085632</v>
      </c>
      <c r="Y312" s="2457"/>
      <c r="Z312" s="1136"/>
      <c r="AA312" s="1136"/>
      <c r="AB312" s="1293">
        <f t="shared" si="277"/>
        <v>0</v>
      </c>
      <c r="AC312" s="1293">
        <f t="shared" si="281"/>
        <v>0</v>
      </c>
      <c r="AD312" s="1293">
        <f t="shared" si="312"/>
        <v>2200</v>
      </c>
      <c r="AE312" s="1293">
        <f t="shared" si="279"/>
        <v>0</v>
      </c>
      <c r="AF312" s="1294"/>
      <c r="AG312" s="1294"/>
      <c r="AH312" s="1294">
        <f t="shared" si="282"/>
        <v>2200</v>
      </c>
      <c r="AI312" s="1294">
        <f t="shared" si="307"/>
        <v>0</v>
      </c>
      <c r="AJ312" s="1293">
        <f t="shared" si="287"/>
        <v>0</v>
      </c>
      <c r="AK312" s="1294">
        <f t="shared" si="304"/>
        <v>0</v>
      </c>
      <c r="AL312" s="1294">
        <f t="shared" si="320"/>
        <v>0</v>
      </c>
      <c r="AM312" s="1294"/>
      <c r="AN312" s="1294"/>
      <c r="AO312" s="1294"/>
      <c r="AP312" s="1294"/>
      <c r="AQ312" s="1294"/>
      <c r="AR312" s="1294">
        <f t="shared" si="328"/>
        <v>0</v>
      </c>
      <c r="AS312" s="1136"/>
      <c r="AT312" s="668">
        <f t="shared" si="315"/>
        <v>0</v>
      </c>
      <c r="AU312" s="463"/>
      <c r="AV312" s="468">
        <f t="shared" si="316"/>
        <v>0</v>
      </c>
      <c r="AW312" s="468">
        <f t="shared" si="317"/>
        <v>176000</v>
      </c>
      <c r="AX312" s="272"/>
      <c r="AY312" s="272"/>
      <c r="AZ312" s="272"/>
      <c r="BA312" s="272"/>
      <c r="BB312" s="272"/>
      <c r="BC312" s="437">
        <f>T315+U315+V315+-W315</f>
        <v>0</v>
      </c>
      <c r="BD312" s="437">
        <f t="shared" si="325"/>
        <v>-176000</v>
      </c>
      <c r="BE312">
        <f t="shared" si="313"/>
        <v>1092.1875</v>
      </c>
      <c r="BF312" s="437">
        <f t="shared" si="314"/>
        <v>992.01675441092766</v>
      </c>
    </row>
    <row r="313" spans="1:59" ht="39" customHeight="1">
      <c r="A313" s="1572"/>
      <c r="B313" s="1573"/>
      <c r="C313" s="1573"/>
      <c r="D313" s="1373" t="s">
        <v>1571</v>
      </c>
      <c r="E313" s="1574"/>
      <c r="F313" s="1797">
        <v>611224</v>
      </c>
      <c r="G313" s="1837" t="s">
        <v>214</v>
      </c>
      <c r="H313" s="1608">
        <v>30000</v>
      </c>
      <c r="I313" s="1380"/>
      <c r="J313" s="1380"/>
      <c r="K313" s="1665"/>
      <c r="L313" s="1627">
        <v>32000</v>
      </c>
      <c r="M313" s="1303"/>
      <c r="N313" s="1304"/>
      <c r="O313" s="1375">
        <f>SUM(L313:N313)</f>
        <v>32000</v>
      </c>
      <c r="P313" s="1627"/>
      <c r="Q313" s="1303"/>
      <c r="R313" s="1304"/>
      <c r="S313" s="1375">
        <f>SUM(P313)</f>
        <v>0</v>
      </c>
      <c r="T313" s="1627">
        <v>32000</v>
      </c>
      <c r="U313" s="1303"/>
      <c r="V313" s="1304"/>
      <c r="W313" s="1375">
        <f t="shared" si="334"/>
        <v>32000</v>
      </c>
      <c r="X313" s="1578">
        <f t="shared" si="286"/>
        <v>100</v>
      </c>
      <c r="Y313" s="2457"/>
      <c r="Z313" s="1136"/>
      <c r="AA313" s="1136"/>
      <c r="AB313" s="1293">
        <f t="shared" si="277"/>
        <v>0</v>
      </c>
      <c r="AC313" s="1293">
        <f t="shared" si="281"/>
        <v>0</v>
      </c>
      <c r="AD313" s="1293">
        <f t="shared" si="312"/>
        <v>0</v>
      </c>
      <c r="AE313" s="1293">
        <f t="shared" si="279"/>
        <v>0</v>
      </c>
      <c r="AF313" s="1294"/>
      <c r="AG313" s="1294"/>
      <c r="AH313" s="1294">
        <f t="shared" si="282"/>
        <v>0</v>
      </c>
      <c r="AI313" s="1294">
        <f t="shared" si="307"/>
        <v>0</v>
      </c>
      <c r="AJ313" s="1293">
        <f t="shared" si="287"/>
        <v>0</v>
      </c>
      <c r="AK313" s="1294">
        <f t="shared" ref="AK313:AK344" si="335">T313+U313+V313-W313</f>
        <v>0</v>
      </c>
      <c r="AL313" s="1294">
        <f t="shared" si="320"/>
        <v>0</v>
      </c>
      <c r="AM313" s="1294"/>
      <c r="AN313" s="1294"/>
      <c r="AO313" s="1294"/>
      <c r="AP313" s="1294"/>
      <c r="AQ313" s="1294"/>
      <c r="AR313" s="1294">
        <f t="shared" si="328"/>
        <v>0</v>
      </c>
      <c r="AS313" s="1136"/>
      <c r="AT313" s="668">
        <f t="shared" si="315"/>
        <v>0</v>
      </c>
      <c r="AU313" s="463"/>
      <c r="AV313" s="468">
        <f t="shared" si="316"/>
        <v>0</v>
      </c>
      <c r="AW313" s="468">
        <f t="shared" si="317"/>
        <v>349500</v>
      </c>
      <c r="AX313" s="272"/>
      <c r="AY313" s="272"/>
      <c r="AZ313" s="272"/>
      <c r="BA313" s="272"/>
      <c r="BB313" s="272"/>
      <c r="BC313" s="437">
        <f>T316+U316+V316+-W316</f>
        <v>0</v>
      </c>
      <c r="BD313" s="437">
        <f t="shared" si="325"/>
        <v>-349500</v>
      </c>
      <c r="BE313">
        <f t="shared" si="313"/>
        <v>1.1383039271485487</v>
      </c>
      <c r="BF313" s="437">
        <f t="shared" si="314"/>
        <v>-33.507368486371099</v>
      </c>
    </row>
    <row r="314" spans="1:59" ht="39" customHeight="1">
      <c r="A314" s="1572"/>
      <c r="B314" s="1573"/>
      <c r="C314" s="1573"/>
      <c r="D314" s="1373" t="s">
        <v>1572</v>
      </c>
      <c r="E314" s="1574"/>
      <c r="F314" s="1795">
        <v>612000</v>
      </c>
      <c r="G314" s="1836" t="s">
        <v>216</v>
      </c>
      <c r="H314" s="1380">
        <f t="shared" ref="H314:J314" si="336">SUM(H315)</f>
        <v>170000</v>
      </c>
      <c r="I314" s="1380">
        <f t="shared" si="336"/>
        <v>0</v>
      </c>
      <c r="J314" s="1380">
        <f t="shared" si="336"/>
        <v>0</v>
      </c>
      <c r="K314" s="1665"/>
      <c r="L314" s="1601">
        <f t="shared" ref="L314:V314" si="337">SUM(L315)</f>
        <v>175700</v>
      </c>
      <c r="M314" s="1303">
        <f t="shared" si="337"/>
        <v>0</v>
      </c>
      <c r="N314" s="1304">
        <f t="shared" si="337"/>
        <v>0</v>
      </c>
      <c r="O314" s="1336">
        <f t="shared" si="333"/>
        <v>175700</v>
      </c>
      <c r="P314" s="1601">
        <f t="shared" si="337"/>
        <v>0</v>
      </c>
      <c r="Q314" s="1303">
        <f t="shared" si="337"/>
        <v>0</v>
      </c>
      <c r="R314" s="1304">
        <f t="shared" si="337"/>
        <v>0</v>
      </c>
      <c r="S314" s="1336">
        <f t="shared" ref="S314" si="338">SUM(P314:R314)</f>
        <v>0</v>
      </c>
      <c r="T314" s="1601">
        <f t="shared" si="337"/>
        <v>176000</v>
      </c>
      <c r="U314" s="1303">
        <f t="shared" si="337"/>
        <v>0</v>
      </c>
      <c r="V314" s="1304">
        <f t="shared" si="337"/>
        <v>0</v>
      </c>
      <c r="W314" s="1336">
        <f t="shared" ref="W314" si="339">SUM(T314:V314)</f>
        <v>176000</v>
      </c>
      <c r="X314" s="1578">
        <f t="shared" si="286"/>
        <v>100.17074558907228</v>
      </c>
      <c r="Y314" s="2457">
        <f>'[1]PRIH REBALANS'!$AK$801</f>
        <v>176000</v>
      </c>
      <c r="Z314" s="1136"/>
      <c r="AA314" s="1136">
        <f>'[9]PRIH REBALANS'!$AL$801</f>
        <v>176000</v>
      </c>
      <c r="AB314" s="1293">
        <f t="shared" si="277"/>
        <v>0</v>
      </c>
      <c r="AC314" s="1293">
        <f t="shared" si="281"/>
        <v>0</v>
      </c>
      <c r="AD314" s="1293">
        <f t="shared" si="312"/>
        <v>300</v>
      </c>
      <c r="AE314" s="1293">
        <f t="shared" si="279"/>
        <v>0</v>
      </c>
      <c r="AF314" s="1294"/>
      <c r="AG314" s="1294"/>
      <c r="AH314" s="1294">
        <f t="shared" si="282"/>
        <v>300</v>
      </c>
      <c r="AI314" s="1294">
        <f t="shared" si="307"/>
        <v>0</v>
      </c>
      <c r="AJ314" s="1293">
        <f t="shared" si="287"/>
        <v>0</v>
      </c>
      <c r="AK314" s="1294">
        <f t="shared" si="335"/>
        <v>0</v>
      </c>
      <c r="AL314" s="1294">
        <f t="shared" si="320"/>
        <v>0</v>
      </c>
      <c r="AM314" s="1294"/>
      <c r="AN314" s="1294"/>
      <c r="AO314" s="1294"/>
      <c r="AP314" s="1294"/>
      <c r="AQ314" s="1294">
        <f>T308*17%</f>
        <v>196180</v>
      </c>
      <c r="AR314" s="1294">
        <f t="shared" si="328"/>
        <v>0</v>
      </c>
      <c r="AS314" s="1136">
        <f>W318</f>
        <v>40000</v>
      </c>
      <c r="AT314" s="668">
        <f t="shared" si="315"/>
        <v>0</v>
      </c>
      <c r="AU314" s="463">
        <f>W318</f>
        <v>40000</v>
      </c>
      <c r="AV314" s="468">
        <f t="shared" si="316"/>
        <v>0</v>
      </c>
      <c r="AW314" s="468">
        <f t="shared" si="317"/>
        <v>2000</v>
      </c>
      <c r="AX314" s="463"/>
      <c r="AY314" s="463"/>
      <c r="AZ314" s="463"/>
      <c r="BA314" s="463"/>
      <c r="BB314" s="463"/>
      <c r="BC314" s="437">
        <f>'[2]PRIH REBALANS'!$AK$815</f>
        <v>175700</v>
      </c>
      <c r="BD314" s="437">
        <f t="shared" si="325"/>
        <v>173700</v>
      </c>
      <c r="BE314">
        <f t="shared" si="313"/>
        <v>22.766078542970973</v>
      </c>
      <c r="BF314" s="437">
        <f t="shared" si="314"/>
        <v>-110.56725479036234</v>
      </c>
      <c r="BG314" s="209">
        <f>W318</f>
        <v>40000</v>
      </c>
    </row>
    <row r="315" spans="1:59" ht="39" customHeight="1">
      <c r="A315" s="1572"/>
      <c r="B315" s="1573"/>
      <c r="C315" s="1573"/>
      <c r="D315" s="1373" t="s">
        <v>1566</v>
      </c>
      <c r="E315" s="1574"/>
      <c r="F315" s="1796">
        <v>612110</v>
      </c>
      <c r="G315" s="1838" t="s">
        <v>217</v>
      </c>
      <c r="H315" s="1575">
        <v>170000</v>
      </c>
      <c r="I315" s="1380"/>
      <c r="J315" s="1380"/>
      <c r="K315" s="1665"/>
      <c r="L315" s="1577">
        <v>175700</v>
      </c>
      <c r="M315" s="1303"/>
      <c r="N315" s="1304"/>
      <c r="O315" s="1375">
        <f>SUM(L315:N315)</f>
        <v>175700</v>
      </c>
      <c r="P315" s="1577"/>
      <c r="Q315" s="1303"/>
      <c r="R315" s="1304"/>
      <c r="S315" s="1375">
        <f>SUM(P315)</f>
        <v>0</v>
      </c>
      <c r="T315" s="1577">
        <v>176000</v>
      </c>
      <c r="U315" s="1303"/>
      <c r="V315" s="1304"/>
      <c r="W315" s="1375">
        <f>SUM(T315:V315)</f>
        <v>176000</v>
      </c>
      <c r="X315" s="1578">
        <f t="shared" si="286"/>
        <v>100.17074558907228</v>
      </c>
      <c r="Y315" s="2457"/>
      <c r="Z315" s="1136"/>
      <c r="AA315" s="1136"/>
      <c r="AB315" s="1293">
        <f t="shared" si="277"/>
        <v>0</v>
      </c>
      <c r="AC315" s="1293">
        <f t="shared" si="281"/>
        <v>0</v>
      </c>
      <c r="AD315" s="1293">
        <f t="shared" si="312"/>
        <v>300</v>
      </c>
      <c r="AE315" s="1293">
        <f t="shared" si="279"/>
        <v>0</v>
      </c>
      <c r="AF315" s="1294"/>
      <c r="AG315" s="1294"/>
      <c r="AH315" s="1294">
        <f t="shared" si="282"/>
        <v>300</v>
      </c>
      <c r="AI315" s="1294">
        <f t="shared" si="307"/>
        <v>0</v>
      </c>
      <c r="AJ315" s="1293">
        <f t="shared" si="287"/>
        <v>0</v>
      </c>
      <c r="AK315" s="1294">
        <f t="shared" si="335"/>
        <v>0</v>
      </c>
      <c r="AL315" s="1294">
        <f t="shared" si="320"/>
        <v>0</v>
      </c>
      <c r="AM315" s="1294"/>
      <c r="AN315" s="1294"/>
      <c r="AO315" s="1294"/>
      <c r="AP315" s="1294"/>
      <c r="AQ315" s="1294"/>
      <c r="AR315" s="1294">
        <f t="shared" si="328"/>
        <v>0</v>
      </c>
      <c r="AS315" s="1136"/>
      <c r="AT315" s="668">
        <f t="shared" si="315"/>
        <v>0</v>
      </c>
      <c r="AU315" s="463"/>
      <c r="AV315" s="468">
        <f t="shared" si="316"/>
        <v>0</v>
      </c>
      <c r="AW315" s="468">
        <f t="shared" si="317"/>
        <v>40000</v>
      </c>
      <c r="AX315" s="272"/>
      <c r="AY315" s="272"/>
      <c r="AZ315" s="272"/>
      <c r="BA315" s="272"/>
      <c r="BB315" s="272"/>
      <c r="BC315" s="437">
        <f>T318+U318+V318+-W318</f>
        <v>0</v>
      </c>
      <c r="BD315" s="437">
        <f t="shared" si="325"/>
        <v>-40000</v>
      </c>
      <c r="BE315">
        <f t="shared" si="313"/>
        <v>2.9738774603879521</v>
      </c>
      <c r="BF315" s="437">
        <f t="shared" si="314"/>
        <v>-103.69278920627872</v>
      </c>
    </row>
    <row r="316" spans="1:59" ht="39" customHeight="1">
      <c r="A316" s="1572"/>
      <c r="B316" s="1573"/>
      <c r="C316" s="1573"/>
      <c r="D316" s="1378" t="s">
        <v>626</v>
      </c>
      <c r="E316" s="1378" t="s">
        <v>206</v>
      </c>
      <c r="F316" s="1799">
        <v>613000</v>
      </c>
      <c r="G316" s="1840" t="s">
        <v>169</v>
      </c>
      <c r="H316" s="1380">
        <f t="shared" ref="H316:J316" si="340">SUM(H317:H322)</f>
        <v>137500</v>
      </c>
      <c r="I316" s="1380">
        <f t="shared" si="340"/>
        <v>749962</v>
      </c>
      <c r="J316" s="1380">
        <f t="shared" si="340"/>
        <v>0</v>
      </c>
      <c r="K316" s="1665"/>
      <c r="L316" s="1601">
        <f t="shared" ref="L316:V316" si="341">SUM(L317:L322)</f>
        <v>129000</v>
      </c>
      <c r="M316" s="1303">
        <f t="shared" si="341"/>
        <v>879784</v>
      </c>
      <c r="N316" s="1304">
        <f t="shared" si="341"/>
        <v>0</v>
      </c>
      <c r="O316" s="1336">
        <f t="shared" si="341"/>
        <v>1008784</v>
      </c>
      <c r="P316" s="1601">
        <f t="shared" si="341"/>
        <v>192000</v>
      </c>
      <c r="Q316" s="1303">
        <f t="shared" si="341"/>
        <v>170000</v>
      </c>
      <c r="R316" s="1304">
        <f t="shared" si="341"/>
        <v>0</v>
      </c>
      <c r="S316" s="1336">
        <f t="shared" si="341"/>
        <v>362000</v>
      </c>
      <c r="T316" s="1601">
        <f>SUM(T317:T322)</f>
        <v>149500</v>
      </c>
      <c r="U316" s="1303">
        <f t="shared" si="341"/>
        <v>200000</v>
      </c>
      <c r="V316" s="1304">
        <f t="shared" si="341"/>
        <v>0</v>
      </c>
      <c r="W316" s="1336">
        <f>SUM(W317:W322)</f>
        <v>349500</v>
      </c>
      <c r="X316" s="1578">
        <f t="shared" si="286"/>
        <v>34.645672413519648</v>
      </c>
      <c r="Y316" s="2457">
        <f>'[1]PRIH REBALANS'!$AK$803</f>
        <v>349500</v>
      </c>
      <c r="Z316" s="1136"/>
      <c r="AA316" s="1136">
        <f>'[9]PRIH REBALANS'!$AL$803</f>
        <v>349500</v>
      </c>
      <c r="AB316" s="1293">
        <f t="shared" si="277"/>
        <v>0</v>
      </c>
      <c r="AC316" s="1293">
        <f t="shared" si="281"/>
        <v>0</v>
      </c>
      <c r="AD316" s="1293">
        <f t="shared" si="312"/>
        <v>-659284</v>
      </c>
      <c r="AE316" s="1293">
        <f t="shared" si="279"/>
        <v>0</v>
      </c>
      <c r="AF316" s="1294"/>
      <c r="AG316" s="1294"/>
      <c r="AH316" s="1294">
        <f t="shared" si="282"/>
        <v>20500</v>
      </c>
      <c r="AI316" s="1294">
        <f t="shared" si="307"/>
        <v>0</v>
      </c>
      <c r="AJ316" s="1293">
        <f t="shared" si="287"/>
        <v>0</v>
      </c>
      <c r="AK316" s="1294">
        <f t="shared" si="335"/>
        <v>0</v>
      </c>
      <c r="AL316" s="1294">
        <f t="shared" si="320"/>
        <v>0</v>
      </c>
      <c r="AM316" s="1294"/>
      <c r="AN316" s="1294"/>
      <c r="AO316" s="1294"/>
      <c r="AP316" s="1294"/>
      <c r="AQ316" s="1294"/>
      <c r="AR316" s="1294">
        <f t="shared" si="328"/>
        <v>0</v>
      </c>
      <c r="AS316" s="1136">
        <f>SUM(W320:W325)</f>
        <v>484500</v>
      </c>
      <c r="AT316" s="668">
        <f t="shared" si="315"/>
        <v>0</v>
      </c>
      <c r="AU316" s="463">
        <f>SUM(W320:W325)</f>
        <v>484500</v>
      </c>
      <c r="AV316" s="468">
        <f t="shared" si="316"/>
        <v>0</v>
      </c>
      <c r="AW316" s="468">
        <f t="shared" si="317"/>
        <v>30000</v>
      </c>
      <c r="AX316" s="463"/>
      <c r="AY316" s="463"/>
      <c r="AZ316" s="463"/>
      <c r="BA316" s="463"/>
      <c r="BB316" s="463"/>
      <c r="BC316" s="437">
        <f>'[2]PRIH REBALANS'!$AK$817</f>
        <v>1008784</v>
      </c>
      <c r="BD316" s="437">
        <f t="shared" si="325"/>
        <v>978784</v>
      </c>
      <c r="BE316">
        <f t="shared" si="313"/>
        <v>2000</v>
      </c>
      <c r="BF316" s="437">
        <f t="shared" si="314"/>
        <v>1890.909090909091</v>
      </c>
      <c r="BG316" s="209">
        <f>SUM(W320:W325)</f>
        <v>484500</v>
      </c>
    </row>
    <row r="317" spans="1:59" ht="39" customHeight="1">
      <c r="A317" s="1572"/>
      <c r="B317" s="1573"/>
      <c r="C317" s="1573"/>
      <c r="D317" s="1378" t="s">
        <v>319</v>
      </c>
      <c r="E317" s="1378"/>
      <c r="F317" s="1797">
        <v>613100</v>
      </c>
      <c r="G317" s="1837" t="s">
        <v>170</v>
      </c>
      <c r="H317" s="1608">
        <v>1500</v>
      </c>
      <c r="I317" s="1575"/>
      <c r="J317" s="1575"/>
      <c r="K317" s="1665"/>
      <c r="L317" s="1627">
        <v>1500</v>
      </c>
      <c r="M317" s="1301"/>
      <c r="N317" s="1302"/>
      <c r="O317" s="1375">
        <f>SUM(L317:N317)</f>
        <v>1500</v>
      </c>
      <c r="P317" s="1627">
        <v>2000</v>
      </c>
      <c r="Q317" s="1301"/>
      <c r="R317" s="1302"/>
      <c r="S317" s="1375">
        <f>SUM(P317:R317)</f>
        <v>2000</v>
      </c>
      <c r="T317" s="1627">
        <v>2000</v>
      </c>
      <c r="U317" s="1301"/>
      <c r="V317" s="1302"/>
      <c r="W317" s="1375">
        <f>SUM(T317:V317)</f>
        <v>2000</v>
      </c>
      <c r="X317" s="1578">
        <f t="shared" si="286"/>
        <v>133.33333333333331</v>
      </c>
      <c r="Y317" s="2457"/>
      <c r="Z317" s="1136"/>
      <c r="AA317" s="1136"/>
      <c r="AB317" s="1293">
        <f t="shared" si="277"/>
        <v>0</v>
      </c>
      <c r="AC317" s="1293">
        <f t="shared" si="281"/>
        <v>0</v>
      </c>
      <c r="AD317" s="1293">
        <f t="shared" si="312"/>
        <v>500</v>
      </c>
      <c r="AE317" s="1293">
        <f t="shared" si="279"/>
        <v>0</v>
      </c>
      <c r="AF317" s="1294"/>
      <c r="AG317" s="1294"/>
      <c r="AH317" s="1294">
        <f t="shared" si="282"/>
        <v>500</v>
      </c>
      <c r="AI317" s="1294">
        <f t="shared" si="307"/>
        <v>0</v>
      </c>
      <c r="AJ317" s="1293">
        <f t="shared" si="287"/>
        <v>0</v>
      </c>
      <c r="AK317" s="1294">
        <f t="shared" si="335"/>
        <v>0</v>
      </c>
      <c r="AL317" s="1294">
        <f t="shared" si="320"/>
        <v>0</v>
      </c>
      <c r="AM317" s="1294"/>
      <c r="AN317" s="1294"/>
      <c r="AO317" s="1294"/>
      <c r="AP317" s="1294"/>
      <c r="AQ317" s="1294"/>
      <c r="AR317" s="1294">
        <f t="shared" si="328"/>
        <v>0</v>
      </c>
      <c r="AS317" s="1136"/>
      <c r="AT317" s="668">
        <f t="shared" si="315"/>
        <v>0</v>
      </c>
      <c r="AU317" s="463"/>
      <c r="AV317" s="468">
        <f t="shared" si="316"/>
        <v>0</v>
      </c>
      <c r="AW317" s="468">
        <f t="shared" si="317"/>
        <v>30000</v>
      </c>
      <c r="AX317" s="272"/>
      <c r="AY317" s="272"/>
      <c r="AZ317" s="272"/>
      <c r="BA317" s="272"/>
      <c r="BB317" s="272"/>
      <c r="BC317" s="437">
        <f>'[2]PRIH REBALANS'!$AG$818</f>
        <v>1500</v>
      </c>
      <c r="BD317" s="437">
        <f t="shared" si="325"/>
        <v>-28500</v>
      </c>
      <c r="BE317">
        <f t="shared" si="313"/>
        <v>21.333333333333336</v>
      </c>
      <c r="BF317" s="437">
        <f t="shared" si="314"/>
        <v>-136.56140350877192</v>
      </c>
    </row>
    <row r="318" spans="1:59" ht="39" customHeight="1">
      <c r="A318" s="1666"/>
      <c r="B318" s="1573"/>
      <c r="C318" s="1573"/>
      <c r="D318" s="1378" t="s">
        <v>554</v>
      </c>
      <c r="E318" s="1378"/>
      <c r="F318" s="1797">
        <v>613200</v>
      </c>
      <c r="G318" s="1837" t="s">
        <v>171</v>
      </c>
      <c r="H318" s="1608">
        <v>37000</v>
      </c>
      <c r="I318" s="1575"/>
      <c r="J318" s="1575"/>
      <c r="K318" s="1665"/>
      <c r="L318" s="1627">
        <v>37500</v>
      </c>
      <c r="M318" s="1301"/>
      <c r="N318" s="1302"/>
      <c r="O318" s="1375">
        <f t="shared" ref="O318:O321" si="342">SUM(L318:N318)</f>
        <v>37500</v>
      </c>
      <c r="P318" s="1627">
        <v>40000</v>
      </c>
      <c r="Q318" s="1301"/>
      <c r="R318" s="1302"/>
      <c r="S318" s="1375">
        <f t="shared" ref="S318:S321" si="343">SUM(P318:R318)</f>
        <v>40000</v>
      </c>
      <c r="T318" s="1627">
        <v>40000</v>
      </c>
      <c r="U318" s="1301"/>
      <c r="V318" s="1302"/>
      <c r="W318" s="1375">
        <f t="shared" ref="W318:W321" si="344">SUM(T318:V318)</f>
        <v>40000</v>
      </c>
      <c r="X318" s="1578">
        <f t="shared" si="286"/>
        <v>106.66666666666667</v>
      </c>
      <c r="Y318" s="2457"/>
      <c r="Z318" s="1136"/>
      <c r="AA318" s="1136"/>
      <c r="AB318" s="1293">
        <f t="shared" si="277"/>
        <v>0</v>
      </c>
      <c r="AC318" s="1293">
        <f t="shared" si="281"/>
        <v>0</v>
      </c>
      <c r="AD318" s="1293">
        <f t="shared" si="312"/>
        <v>2500</v>
      </c>
      <c r="AE318" s="1293">
        <f t="shared" si="279"/>
        <v>0</v>
      </c>
      <c r="AF318" s="1294"/>
      <c r="AG318" s="1294"/>
      <c r="AH318" s="1294">
        <f t="shared" si="282"/>
        <v>2500</v>
      </c>
      <c r="AI318" s="1294">
        <f t="shared" si="307"/>
        <v>0</v>
      </c>
      <c r="AJ318" s="1293">
        <f t="shared" si="287"/>
        <v>0</v>
      </c>
      <c r="AK318" s="1294">
        <f t="shared" si="335"/>
        <v>0</v>
      </c>
      <c r="AL318" s="1294">
        <f t="shared" si="320"/>
        <v>0</v>
      </c>
      <c r="AM318" s="1294"/>
      <c r="AN318" s="1294"/>
      <c r="AO318" s="1294"/>
      <c r="AP318" s="1294"/>
      <c r="AQ318" s="1294"/>
      <c r="AR318" s="1294">
        <f t="shared" si="328"/>
        <v>0</v>
      </c>
      <c r="AS318" s="1136"/>
      <c r="AT318" s="668">
        <f t="shared" si="315"/>
        <v>0</v>
      </c>
      <c r="AU318" s="463"/>
      <c r="AV318" s="468">
        <f t="shared" si="316"/>
        <v>0</v>
      </c>
      <c r="AW318" s="468">
        <f t="shared" si="317"/>
        <v>8000</v>
      </c>
      <c r="AX318" s="272"/>
      <c r="AY318" s="272"/>
      <c r="AZ318" s="272"/>
      <c r="BA318" s="272"/>
      <c r="BB318" s="272"/>
      <c r="BC318" s="437">
        <f>T321+U321+V321+-W321</f>
        <v>0</v>
      </c>
      <c r="BD318" s="437">
        <f t="shared" si="325"/>
        <v>-8000</v>
      </c>
      <c r="BE318">
        <f t="shared" si="313"/>
        <v>870.90909090909088</v>
      </c>
      <c r="BF318" s="437">
        <f t="shared" si="314"/>
        <v>770.90909090909088</v>
      </c>
    </row>
    <row r="319" spans="1:59" ht="39" customHeight="1">
      <c r="A319" s="1666"/>
      <c r="B319" s="1573"/>
      <c r="C319" s="1573"/>
      <c r="D319" s="1378" t="s">
        <v>1563</v>
      </c>
      <c r="E319" s="1378"/>
      <c r="F319" s="1797">
        <v>613300</v>
      </c>
      <c r="G319" s="1837" t="s">
        <v>262</v>
      </c>
      <c r="H319" s="1608">
        <v>25000</v>
      </c>
      <c r="I319" s="1575"/>
      <c r="J319" s="1575"/>
      <c r="K319" s="1665"/>
      <c r="L319" s="1627">
        <v>27500</v>
      </c>
      <c r="M319" s="1301"/>
      <c r="N319" s="1302"/>
      <c r="O319" s="1375">
        <f t="shared" si="342"/>
        <v>27500</v>
      </c>
      <c r="P319" s="1627">
        <v>30000</v>
      </c>
      <c r="Q319" s="1301"/>
      <c r="R319" s="1302"/>
      <c r="S319" s="1375">
        <f t="shared" si="343"/>
        <v>30000</v>
      </c>
      <c r="T319" s="1627">
        <v>30000</v>
      </c>
      <c r="U319" s="1301"/>
      <c r="V319" s="1302"/>
      <c r="W319" s="1375">
        <f t="shared" si="344"/>
        <v>30000</v>
      </c>
      <c r="X319" s="1578">
        <f t="shared" si="286"/>
        <v>109.09090909090908</v>
      </c>
      <c r="Y319" s="2457"/>
      <c r="Z319" s="1136"/>
      <c r="AA319" s="1136"/>
      <c r="AB319" s="1293">
        <f t="shared" si="277"/>
        <v>0</v>
      </c>
      <c r="AC319" s="1293">
        <f t="shared" si="281"/>
        <v>0</v>
      </c>
      <c r="AD319" s="1293">
        <f t="shared" si="312"/>
        <v>2500</v>
      </c>
      <c r="AE319" s="1293">
        <f t="shared" si="279"/>
        <v>0</v>
      </c>
      <c r="AF319" s="1294"/>
      <c r="AG319" s="1294"/>
      <c r="AH319" s="1294">
        <f t="shared" si="282"/>
        <v>2500</v>
      </c>
      <c r="AI319" s="1294">
        <f t="shared" si="307"/>
        <v>0</v>
      </c>
      <c r="AJ319" s="1293">
        <f t="shared" si="287"/>
        <v>0</v>
      </c>
      <c r="AK319" s="1294">
        <f t="shared" si="335"/>
        <v>0</v>
      </c>
      <c r="AL319" s="1294">
        <f t="shared" si="320"/>
        <v>0</v>
      </c>
      <c r="AM319" s="1294"/>
      <c r="AN319" s="1294"/>
      <c r="AO319" s="1294"/>
      <c r="AP319" s="1294"/>
      <c r="AQ319" s="1294"/>
      <c r="AR319" s="1294">
        <f t="shared" si="328"/>
        <v>0</v>
      </c>
      <c r="AS319" s="1136"/>
      <c r="AT319" s="668">
        <f t="shared" si="315"/>
        <v>0</v>
      </c>
      <c r="AU319" s="463"/>
      <c r="AV319" s="468">
        <f t="shared" si="316"/>
        <v>0</v>
      </c>
      <c r="AW319" s="468">
        <f t="shared" si="317"/>
        <v>239500</v>
      </c>
      <c r="AX319" s="272"/>
      <c r="AY319" s="272"/>
      <c r="AZ319" s="272"/>
      <c r="BA319" s="272"/>
      <c r="BB319" s="272"/>
      <c r="BC319" s="437">
        <f>T322+U322+V322+-W322</f>
        <v>0</v>
      </c>
      <c r="BD319" s="437">
        <f t="shared" si="325"/>
        <v>-239500</v>
      </c>
      <c r="BE319">
        <f t="shared" si="313"/>
        <v>5.2631578947368416</v>
      </c>
      <c r="BF319" s="437">
        <f t="shared" si="314"/>
        <v>-20.903583794181568</v>
      </c>
    </row>
    <row r="320" spans="1:59" ht="39" customHeight="1">
      <c r="A320" s="1666"/>
      <c r="B320" s="1573"/>
      <c r="C320" s="1573"/>
      <c r="D320" s="1378" t="s">
        <v>1564</v>
      </c>
      <c r="E320" s="1378"/>
      <c r="F320" s="1797">
        <v>613400</v>
      </c>
      <c r="G320" s="1837" t="s">
        <v>246</v>
      </c>
      <c r="H320" s="1608">
        <v>30000</v>
      </c>
      <c r="I320" s="1575"/>
      <c r="J320" s="1575"/>
      <c r="K320" s="1665"/>
      <c r="L320" s="1627">
        <v>19000</v>
      </c>
      <c r="M320" s="1301"/>
      <c r="N320" s="1302"/>
      <c r="O320" s="1375">
        <f t="shared" si="342"/>
        <v>19000</v>
      </c>
      <c r="P320" s="1627">
        <v>30000</v>
      </c>
      <c r="Q320" s="1301"/>
      <c r="R320" s="1302"/>
      <c r="S320" s="1375">
        <f t="shared" si="343"/>
        <v>30000</v>
      </c>
      <c r="T320" s="1627">
        <v>30000</v>
      </c>
      <c r="U320" s="1301"/>
      <c r="V320" s="1302"/>
      <c r="W320" s="1375">
        <f t="shared" si="344"/>
        <v>30000</v>
      </c>
      <c r="X320" s="1578">
        <f t="shared" si="286"/>
        <v>157.89473684210526</v>
      </c>
      <c r="Y320" s="2457"/>
      <c r="Z320" s="1136"/>
      <c r="AA320" s="1136"/>
      <c r="AB320" s="1293">
        <f t="shared" si="277"/>
        <v>0</v>
      </c>
      <c r="AC320" s="1293">
        <f t="shared" si="281"/>
        <v>0</v>
      </c>
      <c r="AD320" s="1293">
        <f t="shared" si="312"/>
        <v>11000</v>
      </c>
      <c r="AE320" s="1293">
        <f t="shared" si="279"/>
        <v>0</v>
      </c>
      <c r="AF320" s="1294"/>
      <c r="AG320" s="1294"/>
      <c r="AH320" s="1294">
        <f t="shared" si="282"/>
        <v>11000</v>
      </c>
      <c r="AI320" s="1294">
        <f t="shared" ref="AI320:AI351" si="345">T320+U320+V320-W320</f>
        <v>0</v>
      </c>
      <c r="AJ320" s="1293">
        <f t="shared" si="287"/>
        <v>0</v>
      </c>
      <c r="AK320" s="1294">
        <f t="shared" si="335"/>
        <v>0</v>
      </c>
      <c r="AL320" s="1294">
        <f t="shared" si="320"/>
        <v>0</v>
      </c>
      <c r="AM320" s="1294"/>
      <c r="AN320" s="1294"/>
      <c r="AO320" s="1294"/>
      <c r="AP320" s="1294"/>
      <c r="AQ320" s="1294"/>
      <c r="AR320" s="1294">
        <f t="shared" si="328"/>
        <v>0</v>
      </c>
      <c r="AS320" s="1136"/>
      <c r="AT320" s="668">
        <f t="shared" si="315"/>
        <v>0</v>
      </c>
      <c r="AU320" s="463"/>
      <c r="AV320" s="468">
        <f t="shared" si="316"/>
        <v>0</v>
      </c>
      <c r="AW320" s="468">
        <f t="shared" si="317"/>
        <v>1000</v>
      </c>
      <c r="AX320" s="272"/>
      <c r="AY320" s="272"/>
      <c r="AZ320" s="272"/>
      <c r="BA320" s="272"/>
      <c r="BB320" s="272"/>
      <c r="BC320" s="437">
        <f>T323+U323+V323+-W323</f>
        <v>0</v>
      </c>
      <c r="BD320" s="437">
        <f t="shared" si="325"/>
        <v>-1000</v>
      </c>
      <c r="BE320">
        <f t="shared" si="313"/>
        <v>75</v>
      </c>
      <c r="BF320" s="437">
        <f t="shared" si="314"/>
        <v>-25</v>
      </c>
    </row>
    <row r="321" spans="1:59" ht="39" customHeight="1">
      <c r="A321" s="1376"/>
      <c r="B321" s="1667"/>
      <c r="C321" s="1667"/>
      <c r="D321" s="1378" t="s">
        <v>1565</v>
      </c>
      <c r="E321" s="1377" t="s">
        <v>465</v>
      </c>
      <c r="F321" s="1796">
        <v>613500</v>
      </c>
      <c r="G321" s="1837" t="s">
        <v>677</v>
      </c>
      <c r="H321" s="1608">
        <v>8000</v>
      </c>
      <c r="I321" s="1575"/>
      <c r="J321" s="1575"/>
      <c r="K321" s="1665"/>
      <c r="L321" s="1627">
        <v>8000</v>
      </c>
      <c r="M321" s="1301"/>
      <c r="N321" s="1302"/>
      <c r="O321" s="1375">
        <f t="shared" si="342"/>
        <v>8000</v>
      </c>
      <c r="P321" s="1627">
        <v>8000</v>
      </c>
      <c r="Q321" s="1301"/>
      <c r="R321" s="1302"/>
      <c r="S321" s="1375">
        <f t="shared" si="343"/>
        <v>8000</v>
      </c>
      <c r="T321" s="1627">
        <v>8000</v>
      </c>
      <c r="U321" s="1301"/>
      <c r="V321" s="1302"/>
      <c r="W321" s="1375">
        <f t="shared" si="344"/>
        <v>8000</v>
      </c>
      <c r="X321" s="1578">
        <f t="shared" si="286"/>
        <v>100</v>
      </c>
      <c r="Y321" s="2457"/>
      <c r="Z321" s="1136"/>
      <c r="AA321" s="1136"/>
      <c r="AB321" s="1293">
        <f t="shared" si="277"/>
        <v>0</v>
      </c>
      <c r="AC321" s="1293">
        <f t="shared" si="281"/>
        <v>0</v>
      </c>
      <c r="AD321" s="1293">
        <f t="shared" si="312"/>
        <v>0</v>
      </c>
      <c r="AE321" s="1293">
        <f t="shared" si="279"/>
        <v>0</v>
      </c>
      <c r="AF321" s="1294"/>
      <c r="AG321" s="1294"/>
      <c r="AH321" s="1294">
        <f t="shared" si="282"/>
        <v>0</v>
      </c>
      <c r="AI321" s="1294">
        <f t="shared" si="345"/>
        <v>0</v>
      </c>
      <c r="AJ321" s="1293">
        <f t="shared" si="287"/>
        <v>0</v>
      </c>
      <c r="AK321" s="1294">
        <f t="shared" si="335"/>
        <v>0</v>
      </c>
      <c r="AL321" s="1294">
        <f t="shared" si="320"/>
        <v>0</v>
      </c>
      <c r="AM321" s="1294"/>
      <c r="AN321" s="1294"/>
      <c r="AO321" s="1294"/>
      <c r="AP321" s="1294"/>
      <c r="AQ321" s="1294"/>
      <c r="AR321" s="1294">
        <f t="shared" si="328"/>
        <v>0</v>
      </c>
      <c r="AS321" s="1136"/>
      <c r="AT321" s="668">
        <f t="shared" si="315"/>
        <v>0</v>
      </c>
      <c r="AU321" s="463"/>
      <c r="AV321" s="468">
        <f t="shared" si="316"/>
        <v>0</v>
      </c>
      <c r="AW321" s="468">
        <f t="shared" si="317"/>
        <v>6000</v>
      </c>
      <c r="AX321" s="272"/>
      <c r="AY321" s="272"/>
      <c r="AZ321" s="272"/>
      <c r="BA321" s="272"/>
      <c r="BB321" s="272"/>
      <c r="BC321" s="437">
        <f>T324+U324+V324+-W324</f>
        <v>0</v>
      </c>
      <c r="BD321" s="437">
        <f t="shared" si="325"/>
        <v>-6000</v>
      </c>
      <c r="BE321">
        <f t="shared" si="313"/>
        <v>21.851141285109321</v>
      </c>
      <c r="BF321" s="437">
        <f t="shared" si="314"/>
        <v>-128.14885871489068</v>
      </c>
    </row>
    <row r="322" spans="1:59" ht="39" customHeight="1">
      <c r="A322" s="1376"/>
      <c r="B322" s="1667"/>
      <c r="C322" s="1667"/>
      <c r="D322" s="1378" t="s">
        <v>626</v>
      </c>
      <c r="E322" s="1377" t="s">
        <v>465</v>
      </c>
      <c r="F322" s="1799">
        <v>613900</v>
      </c>
      <c r="G322" s="1840" t="s">
        <v>180</v>
      </c>
      <c r="H322" s="1380">
        <f>SUM(H323:H330)</f>
        <v>36000</v>
      </c>
      <c r="I322" s="1380">
        <f>SUM(I323:I330)</f>
        <v>749962</v>
      </c>
      <c r="J322" s="1380">
        <f>SUM(J323:J330)</f>
        <v>0</v>
      </c>
      <c r="K322" s="1665"/>
      <c r="L322" s="1601">
        <f t="shared" ref="L322:V322" si="346">SUM(L323:L330)</f>
        <v>35500</v>
      </c>
      <c r="M322" s="1303">
        <f t="shared" si="346"/>
        <v>879784</v>
      </c>
      <c r="N322" s="1304">
        <f t="shared" si="346"/>
        <v>0</v>
      </c>
      <c r="O322" s="1336">
        <f t="shared" si="346"/>
        <v>915284</v>
      </c>
      <c r="P322" s="1601">
        <f t="shared" si="346"/>
        <v>82000</v>
      </c>
      <c r="Q322" s="1303">
        <f t="shared" si="346"/>
        <v>170000</v>
      </c>
      <c r="R322" s="1304">
        <f t="shared" si="346"/>
        <v>0</v>
      </c>
      <c r="S322" s="1336">
        <f t="shared" si="346"/>
        <v>252000</v>
      </c>
      <c r="T322" s="1601">
        <f>SUM(T323:T330)</f>
        <v>39500</v>
      </c>
      <c r="U322" s="1303">
        <f t="shared" si="346"/>
        <v>200000</v>
      </c>
      <c r="V322" s="1304">
        <f t="shared" si="346"/>
        <v>0</v>
      </c>
      <c r="W322" s="1336">
        <f>SUM(W323:W330)</f>
        <v>239500</v>
      </c>
      <c r="X322" s="1578">
        <f t="shared" si="286"/>
        <v>26.16674168891841</v>
      </c>
      <c r="Y322" s="2457">
        <f>'[1]PRIH REBALANS'!$AK$809</f>
        <v>239500</v>
      </c>
      <c r="Z322" s="1136"/>
      <c r="AA322" s="1136">
        <f>'[9]PRIH REBALANS'!$AK$809</f>
        <v>239500</v>
      </c>
      <c r="AB322" s="1293">
        <f t="shared" si="277"/>
        <v>0</v>
      </c>
      <c r="AC322" s="1293">
        <f t="shared" si="281"/>
        <v>0</v>
      </c>
      <c r="AD322" s="1293">
        <f t="shared" si="312"/>
        <v>-675784</v>
      </c>
      <c r="AE322" s="1293">
        <f t="shared" si="279"/>
        <v>0</v>
      </c>
      <c r="AF322" s="1294"/>
      <c r="AG322" s="1294"/>
      <c r="AH322" s="1294">
        <f t="shared" si="282"/>
        <v>4000</v>
      </c>
      <c r="AI322" s="1294">
        <f t="shared" si="345"/>
        <v>0</v>
      </c>
      <c r="AJ322" s="1293">
        <f t="shared" si="287"/>
        <v>0</v>
      </c>
      <c r="AK322" s="1294">
        <f t="shared" si="335"/>
        <v>0</v>
      </c>
      <c r="AL322" s="1294">
        <f t="shared" si="320"/>
        <v>0</v>
      </c>
      <c r="AM322" s="1294"/>
      <c r="AN322" s="1294"/>
      <c r="AO322" s="1294"/>
      <c r="AP322" s="1294"/>
      <c r="AQ322" s="1294"/>
      <c r="AR322" s="1294">
        <f t="shared" si="328"/>
        <v>0</v>
      </c>
      <c r="AS322" s="1136">
        <f>SUM(W326:W333)</f>
        <v>232500</v>
      </c>
      <c r="AT322" s="668">
        <f t="shared" si="315"/>
        <v>0</v>
      </c>
      <c r="AU322" s="463">
        <f>SUM(W326:W333)</f>
        <v>232500</v>
      </c>
      <c r="AV322" s="468">
        <f t="shared" si="316"/>
        <v>0</v>
      </c>
      <c r="AW322" s="468">
        <f t="shared" si="317"/>
        <v>200000</v>
      </c>
      <c r="AX322" s="463"/>
      <c r="AY322" s="463"/>
      <c r="AZ322" s="463"/>
      <c r="BA322" s="463"/>
      <c r="BB322" s="463"/>
      <c r="BC322" s="437">
        <f>'[2]PRIH REBALANS'!$AK$823</f>
        <v>915284</v>
      </c>
      <c r="BD322" s="437">
        <f t="shared" si="325"/>
        <v>715284</v>
      </c>
      <c r="BE322">
        <f t="shared" si="313"/>
        <v>0</v>
      </c>
      <c r="BF322" s="437">
        <f t="shared" si="314"/>
        <v>-100</v>
      </c>
      <c r="BG322" s="209">
        <f>SUM(W326:W333)</f>
        <v>232500</v>
      </c>
    </row>
    <row r="323" spans="1:59" ht="39" customHeight="1">
      <c r="A323" s="1376"/>
      <c r="B323" s="1667"/>
      <c r="C323" s="1667"/>
      <c r="D323" s="1378" t="s">
        <v>319</v>
      </c>
      <c r="E323" s="1378"/>
      <c r="F323" s="1797">
        <v>613914</v>
      </c>
      <c r="G323" s="1837" t="s">
        <v>224</v>
      </c>
      <c r="H323" s="1575">
        <v>1000</v>
      </c>
      <c r="I323" s="1575"/>
      <c r="J323" s="1575"/>
      <c r="K323" s="1665"/>
      <c r="L323" s="1577">
        <v>1000</v>
      </c>
      <c r="M323" s="1301"/>
      <c r="N323" s="1302"/>
      <c r="O323" s="1375">
        <f t="shared" ref="O323:O330" si="347">SUM(L323:N323)</f>
        <v>1000</v>
      </c>
      <c r="P323" s="1577">
        <v>1000</v>
      </c>
      <c r="Q323" s="1301"/>
      <c r="R323" s="1302"/>
      <c r="S323" s="1375">
        <v>1000</v>
      </c>
      <c r="T323" s="1577">
        <v>1000</v>
      </c>
      <c r="U323" s="1301"/>
      <c r="V323" s="1302"/>
      <c r="W323" s="1375">
        <f>SUM(T323:V323)</f>
        <v>1000</v>
      </c>
      <c r="X323" s="1578">
        <f t="shared" si="286"/>
        <v>100</v>
      </c>
      <c r="Y323" s="2457"/>
      <c r="Z323" s="1136"/>
      <c r="AA323" s="1136"/>
      <c r="AB323" s="1293">
        <f t="shared" si="277"/>
        <v>0</v>
      </c>
      <c r="AC323" s="1293">
        <f t="shared" si="281"/>
        <v>0</v>
      </c>
      <c r="AD323" s="1293">
        <f t="shared" si="312"/>
        <v>0</v>
      </c>
      <c r="AE323" s="1293">
        <f t="shared" si="279"/>
        <v>0</v>
      </c>
      <c r="AF323" s="1294"/>
      <c r="AG323" s="1294"/>
      <c r="AH323" s="1294">
        <f t="shared" si="282"/>
        <v>0</v>
      </c>
      <c r="AI323" s="1294">
        <f t="shared" si="345"/>
        <v>0</v>
      </c>
      <c r="AJ323" s="1293">
        <f t="shared" si="287"/>
        <v>0</v>
      </c>
      <c r="AK323" s="1294">
        <f t="shared" si="335"/>
        <v>0</v>
      </c>
      <c r="AL323" s="1294">
        <f t="shared" si="320"/>
        <v>0</v>
      </c>
      <c r="AM323" s="1294"/>
      <c r="AN323" s="1294"/>
      <c r="AO323" s="1294"/>
      <c r="AP323" s="1294"/>
      <c r="AQ323" s="1294"/>
      <c r="AR323" s="1294">
        <f t="shared" si="328"/>
        <v>0</v>
      </c>
      <c r="AS323" s="1136"/>
      <c r="AT323" s="668">
        <f t="shared" si="315"/>
        <v>0</v>
      </c>
      <c r="AU323" s="463"/>
      <c r="AV323" s="468">
        <f t="shared" si="316"/>
        <v>0</v>
      </c>
      <c r="AW323" s="468">
        <f t="shared" si="317"/>
        <v>0</v>
      </c>
      <c r="AX323" s="272"/>
      <c r="AY323" s="272"/>
      <c r="AZ323" s="272"/>
      <c r="BA323" s="272"/>
      <c r="BB323" s="272"/>
      <c r="BC323" s="437">
        <f>T326+U326+V326+-W326</f>
        <v>0</v>
      </c>
      <c r="BD323" s="437">
        <f t="shared" si="325"/>
        <v>0</v>
      </c>
      <c r="BE323">
        <f t="shared" si="313"/>
        <v>125</v>
      </c>
      <c r="BF323" s="437">
        <f t="shared" si="314"/>
        <v>125</v>
      </c>
    </row>
    <row r="324" spans="1:59" ht="39" customHeight="1">
      <c r="A324" s="1572"/>
      <c r="B324" s="1377"/>
      <c r="C324" s="1377"/>
      <c r="D324" s="1378" t="s">
        <v>554</v>
      </c>
      <c r="E324" s="1373"/>
      <c r="F324" s="1797">
        <v>613920</v>
      </c>
      <c r="G324" s="1837" t="s">
        <v>568</v>
      </c>
      <c r="H324" s="1575">
        <v>4000</v>
      </c>
      <c r="I324" s="1575"/>
      <c r="J324" s="1575"/>
      <c r="K324" s="1665"/>
      <c r="L324" s="1577">
        <v>4000</v>
      </c>
      <c r="M324" s="1301"/>
      <c r="N324" s="1302"/>
      <c r="O324" s="1375">
        <f t="shared" si="347"/>
        <v>4000</v>
      </c>
      <c r="P324" s="1577">
        <v>6000</v>
      </c>
      <c r="Q324" s="1301"/>
      <c r="R324" s="1302"/>
      <c r="S324" s="1375">
        <v>6000</v>
      </c>
      <c r="T324" s="1577">
        <v>6000</v>
      </c>
      <c r="U324" s="1301"/>
      <c r="V324" s="1302"/>
      <c r="W324" s="1375">
        <f t="shared" ref="W324:W330" si="348">SUM(T324:V324)</f>
        <v>6000</v>
      </c>
      <c r="X324" s="1578">
        <f t="shared" si="286"/>
        <v>150</v>
      </c>
      <c r="Y324" s="2457"/>
      <c r="Z324" s="1136"/>
      <c r="AA324" s="1136"/>
      <c r="AB324" s="1293">
        <f t="shared" ref="AB324:AB387" si="349">T324+U324+V324-W324</f>
        <v>0</v>
      </c>
      <c r="AC324" s="1293">
        <f t="shared" si="281"/>
        <v>0</v>
      </c>
      <c r="AD324" s="1293">
        <f t="shared" si="312"/>
        <v>2000</v>
      </c>
      <c r="AE324" s="1293">
        <f t="shared" si="279"/>
        <v>0</v>
      </c>
      <c r="AF324" s="1294"/>
      <c r="AG324" s="1294"/>
      <c r="AH324" s="1294">
        <f t="shared" si="282"/>
        <v>2000</v>
      </c>
      <c r="AI324" s="1294">
        <f t="shared" si="345"/>
        <v>0</v>
      </c>
      <c r="AJ324" s="1293">
        <f t="shared" si="287"/>
        <v>0</v>
      </c>
      <c r="AK324" s="1294">
        <f t="shared" si="335"/>
        <v>0</v>
      </c>
      <c r="AL324" s="1294">
        <f t="shared" si="320"/>
        <v>0</v>
      </c>
      <c r="AM324" s="1294"/>
      <c r="AN324" s="1294"/>
      <c r="AO324" s="1294"/>
      <c r="AP324" s="1294"/>
      <c r="AQ324" s="1294"/>
      <c r="AR324" s="1294">
        <f t="shared" si="328"/>
        <v>0</v>
      </c>
      <c r="AS324" s="1136"/>
      <c r="AT324" s="668" t="e">
        <f>#REF!+#REF!+#REF!-W327</f>
        <v>#REF!</v>
      </c>
      <c r="AU324" s="463"/>
      <c r="AV324" s="468" t="e">
        <f>#REF!+#REF!+#REF!-W327</f>
        <v>#REF!</v>
      </c>
      <c r="AW324" s="468" t="e">
        <f t="shared" si="317"/>
        <v>#REF!</v>
      </c>
      <c r="AX324" s="272"/>
      <c r="AY324" s="272"/>
      <c r="AZ324" s="272"/>
      <c r="BA324" s="272"/>
      <c r="BB324" s="272"/>
      <c r="BC324" s="437" t="e">
        <f>#REF!+#REF!+#REF!+-W327</f>
        <v>#REF!</v>
      </c>
      <c r="BD324" s="437" t="e">
        <f t="shared" si="325"/>
        <v>#REF!</v>
      </c>
      <c r="BE324">
        <f t="shared" si="313"/>
        <v>3.75</v>
      </c>
      <c r="BF324" s="437">
        <f t="shared" si="314"/>
        <v>-96.25</v>
      </c>
    </row>
    <row r="325" spans="1:59" ht="39" customHeight="1">
      <c r="A325" s="1572"/>
      <c r="B325" s="1377"/>
      <c r="C325" s="1377"/>
      <c r="D325" s="1378" t="s">
        <v>626</v>
      </c>
      <c r="E325" s="1378"/>
      <c r="F325" s="1797" t="s">
        <v>315</v>
      </c>
      <c r="G325" s="1837" t="s">
        <v>466</v>
      </c>
      <c r="H325" s="1575"/>
      <c r="I325" s="1575">
        <v>200000</v>
      </c>
      <c r="J325" s="1575"/>
      <c r="K325" s="1665"/>
      <c r="L325" s="1577"/>
      <c r="M325" s="1301">
        <v>200000</v>
      </c>
      <c r="N325" s="1302"/>
      <c r="O325" s="1375">
        <f t="shared" si="347"/>
        <v>200000</v>
      </c>
      <c r="P325" s="1577"/>
      <c r="Q325" s="1301">
        <v>170000</v>
      </c>
      <c r="R325" s="1302"/>
      <c r="S325" s="1375">
        <v>170000</v>
      </c>
      <c r="T325" s="1577"/>
      <c r="U325" s="1301">
        <v>200000</v>
      </c>
      <c r="V325" s="1302"/>
      <c r="W325" s="1375">
        <f t="shared" si="348"/>
        <v>200000</v>
      </c>
      <c r="X325" s="1578">
        <f t="shared" si="286"/>
        <v>100</v>
      </c>
      <c r="Y325" s="2457"/>
      <c r="Z325" s="1136"/>
      <c r="AA325" s="1136"/>
      <c r="AB325" s="1293">
        <f t="shared" si="349"/>
        <v>0</v>
      </c>
      <c r="AC325" s="1293">
        <f t="shared" si="281"/>
        <v>0</v>
      </c>
      <c r="AD325" s="1293">
        <f t="shared" si="312"/>
        <v>0</v>
      </c>
      <c r="AE325" s="1293">
        <f t="shared" ref="AE325:AE388" si="350">T325+U325+V325-W325</f>
        <v>0</v>
      </c>
      <c r="AF325" s="1294"/>
      <c r="AG325" s="1294"/>
      <c r="AH325" s="1294">
        <f t="shared" si="282"/>
        <v>0</v>
      </c>
      <c r="AI325" s="1294">
        <f t="shared" si="345"/>
        <v>0</v>
      </c>
      <c r="AJ325" s="1293">
        <f t="shared" si="287"/>
        <v>0</v>
      </c>
      <c r="AK325" s="1294">
        <f t="shared" si="335"/>
        <v>0</v>
      </c>
      <c r="AL325" s="1294">
        <f t="shared" si="320"/>
        <v>0</v>
      </c>
      <c r="AM325" s="1294"/>
      <c r="AN325" s="1294"/>
      <c r="AO325" s="1294"/>
      <c r="AP325" s="1294"/>
      <c r="AQ325" s="1294" t="str">
        <f>'[8]PRIH REBALANS'!$G$159</f>
        <v>Naknada za tehničke preglede objekata</v>
      </c>
      <c r="AR325" s="1294">
        <f t="shared" si="328"/>
        <v>0</v>
      </c>
      <c r="AS325" s="1136"/>
      <c r="AT325" s="668">
        <f t="shared" ref="AT325:AT348" si="351">T327+U327+V327-W328</f>
        <v>-2500</v>
      </c>
      <c r="AU325" s="463"/>
      <c r="AV325" s="468">
        <f t="shared" ref="AV325:AV332" si="352">T327+U327+V327-W328</f>
        <v>-2500</v>
      </c>
      <c r="AW325" s="468">
        <f t="shared" si="317"/>
        <v>10000</v>
      </c>
      <c r="AX325" s="272"/>
      <c r="AY325" s="272"/>
      <c r="AZ325" s="272"/>
      <c r="BA325" s="272"/>
      <c r="BB325" s="272"/>
      <c r="BC325" s="437">
        <f t="shared" ref="BC325:BC330" si="353">T327+U327+V327+-W328</f>
        <v>-2500</v>
      </c>
      <c r="BD325" s="437">
        <f t="shared" si="325"/>
        <v>-10000</v>
      </c>
      <c r="BE325">
        <f t="shared" si="313"/>
        <v>1.4710555117507915</v>
      </c>
      <c r="BF325" s="437">
        <f t="shared" si="314"/>
        <v>-134.89258085188555</v>
      </c>
    </row>
    <row r="326" spans="1:59" ht="39" customHeight="1">
      <c r="A326" s="1572"/>
      <c r="B326" s="1573"/>
      <c r="C326" s="1573"/>
      <c r="D326" s="1378" t="s">
        <v>626</v>
      </c>
      <c r="E326" s="1668"/>
      <c r="F326" s="1797" t="s">
        <v>315</v>
      </c>
      <c r="G326" s="1837" t="s">
        <v>719</v>
      </c>
      <c r="H326" s="1575"/>
      <c r="I326" s="1575">
        <v>549962</v>
      </c>
      <c r="J326" s="1575"/>
      <c r="K326" s="1665"/>
      <c r="L326" s="1577"/>
      <c r="M326" s="1301">
        <v>679784</v>
      </c>
      <c r="N326" s="1302"/>
      <c r="O326" s="1375">
        <f t="shared" si="347"/>
        <v>679784</v>
      </c>
      <c r="P326" s="1577">
        <v>50000</v>
      </c>
      <c r="Q326" s="1301"/>
      <c r="R326" s="1302"/>
      <c r="S326" s="1375">
        <v>50000</v>
      </c>
      <c r="T326" s="1577"/>
      <c r="U326" s="1301"/>
      <c r="V326" s="1302"/>
      <c r="W326" s="1375">
        <f t="shared" si="348"/>
        <v>0</v>
      </c>
      <c r="X326" s="1578">
        <f t="shared" si="286"/>
        <v>0</v>
      </c>
      <c r="Y326" s="2457"/>
      <c r="Z326" s="1136"/>
      <c r="AA326" s="1136"/>
      <c r="AB326" s="1293">
        <f t="shared" si="349"/>
        <v>0</v>
      </c>
      <c r="AC326" s="1293">
        <f t="shared" ref="AC326:AC389" si="354">T326+U326+V326-W326</f>
        <v>0</v>
      </c>
      <c r="AD326" s="1293">
        <f t="shared" si="312"/>
        <v>-679784</v>
      </c>
      <c r="AE326" s="1293">
        <f t="shared" si="350"/>
        <v>0</v>
      </c>
      <c r="AF326" s="1294"/>
      <c r="AG326" s="1294"/>
      <c r="AH326" s="1294">
        <f t="shared" ref="AH326:AH389" si="355">T326-L326</f>
        <v>0</v>
      </c>
      <c r="AI326" s="1294">
        <f t="shared" si="345"/>
        <v>0</v>
      </c>
      <c r="AJ326" s="1293">
        <f t="shared" si="287"/>
        <v>0</v>
      </c>
      <c r="AK326" s="1294">
        <f t="shared" si="335"/>
        <v>0</v>
      </c>
      <c r="AL326" s="1294">
        <f t="shared" si="320"/>
        <v>0</v>
      </c>
      <c r="AM326" s="1294"/>
      <c r="AN326" s="1294"/>
      <c r="AO326" s="1294"/>
      <c r="AP326" s="1294"/>
      <c r="AQ326" s="1294"/>
      <c r="AR326" s="1294">
        <f t="shared" si="328"/>
        <v>0</v>
      </c>
      <c r="AS326" s="1136"/>
      <c r="AT326" s="668">
        <f t="shared" si="351"/>
        <v>-2500</v>
      </c>
      <c r="AU326" s="463"/>
      <c r="AV326" s="468">
        <f t="shared" si="352"/>
        <v>-2500</v>
      </c>
      <c r="AW326" s="468">
        <f t="shared" si="317"/>
        <v>12500</v>
      </c>
      <c r="AX326" s="272"/>
      <c r="AY326" s="272"/>
      <c r="AZ326" s="272"/>
      <c r="BA326" s="272"/>
      <c r="BB326" s="272"/>
      <c r="BC326" s="437">
        <f t="shared" si="353"/>
        <v>-2500</v>
      </c>
      <c r="BD326" s="437">
        <f t="shared" si="325"/>
        <v>-12500</v>
      </c>
      <c r="BE326">
        <f t="shared" si="313"/>
        <v>200</v>
      </c>
      <c r="BF326" s="437">
        <f t="shared" si="314"/>
        <v>100</v>
      </c>
    </row>
    <row r="327" spans="1:59" ht="39" customHeight="1">
      <c r="A327" s="1572"/>
      <c r="B327" s="1573"/>
      <c r="C327" s="1573"/>
      <c r="D327" s="1378" t="s">
        <v>319</v>
      </c>
      <c r="E327" s="1668"/>
      <c r="F327" s="1797">
        <v>613970</v>
      </c>
      <c r="G327" s="1837" t="s">
        <v>467</v>
      </c>
      <c r="H327" s="1575">
        <v>5000</v>
      </c>
      <c r="I327" s="1575"/>
      <c r="J327" s="1575"/>
      <c r="K327" s="1665"/>
      <c r="L327" s="1577">
        <v>5000</v>
      </c>
      <c r="M327" s="1301"/>
      <c r="N327" s="1302"/>
      <c r="O327" s="1375">
        <f t="shared" si="347"/>
        <v>5000</v>
      </c>
      <c r="P327" s="1577">
        <v>5000</v>
      </c>
      <c r="Q327" s="1301"/>
      <c r="R327" s="1302"/>
      <c r="S327" s="1375">
        <v>5000</v>
      </c>
      <c r="T327" s="1577">
        <v>5000</v>
      </c>
      <c r="U327" s="1301"/>
      <c r="V327" s="1302"/>
      <c r="W327" s="1375">
        <f t="shared" si="348"/>
        <v>5000</v>
      </c>
      <c r="X327" s="1578">
        <f t="shared" si="286"/>
        <v>100</v>
      </c>
      <c r="Y327" s="2457"/>
      <c r="Z327" s="1136"/>
      <c r="AA327" s="1136"/>
      <c r="AB327" s="1293">
        <f t="shared" si="349"/>
        <v>0</v>
      </c>
      <c r="AC327" s="1293">
        <f t="shared" si="354"/>
        <v>0</v>
      </c>
      <c r="AD327" s="1293">
        <f t="shared" si="312"/>
        <v>0</v>
      </c>
      <c r="AE327" s="1293">
        <f t="shared" si="350"/>
        <v>0</v>
      </c>
      <c r="AF327" s="1294"/>
      <c r="AG327" s="1294"/>
      <c r="AH327" s="1294">
        <f t="shared" si="355"/>
        <v>0</v>
      </c>
      <c r="AI327" s="1294">
        <f t="shared" si="345"/>
        <v>0</v>
      </c>
      <c r="AJ327" s="1293">
        <f t="shared" si="287"/>
        <v>0</v>
      </c>
      <c r="AK327" s="1294">
        <f t="shared" si="335"/>
        <v>0</v>
      </c>
      <c r="AL327" s="1294">
        <f t="shared" si="320"/>
        <v>0</v>
      </c>
      <c r="AM327" s="1294"/>
      <c r="AN327" s="1294"/>
      <c r="AO327" s="1294"/>
      <c r="AP327" s="1294"/>
      <c r="AQ327" s="1294"/>
      <c r="AR327" s="1294">
        <f t="shared" si="328"/>
        <v>0</v>
      </c>
      <c r="AS327" s="1136"/>
      <c r="AT327" s="668">
        <f t="shared" si="351"/>
        <v>0</v>
      </c>
      <c r="AU327" s="463"/>
      <c r="AV327" s="468">
        <f t="shared" si="352"/>
        <v>0</v>
      </c>
      <c r="AW327" s="468">
        <f t="shared" si="317"/>
        <v>10000</v>
      </c>
      <c r="AX327" s="272"/>
      <c r="AY327" s="272"/>
      <c r="AZ327" s="272"/>
      <c r="BA327" s="272"/>
      <c r="BB327" s="272"/>
      <c r="BC327" s="437">
        <f t="shared" si="353"/>
        <v>0</v>
      </c>
      <c r="BD327" s="437">
        <f t="shared" si="325"/>
        <v>-10000</v>
      </c>
      <c r="BE327">
        <f t="shared" si="313"/>
        <v>3636.3636363636365</v>
      </c>
      <c r="BF327" s="437">
        <f t="shared" si="314"/>
        <v>3536.3636363636365</v>
      </c>
    </row>
    <row r="328" spans="1:59" ht="39" customHeight="1">
      <c r="A328" s="1572"/>
      <c r="B328" s="1573"/>
      <c r="C328" s="1573"/>
      <c r="D328" s="1378" t="s">
        <v>319</v>
      </c>
      <c r="E328" s="1668"/>
      <c r="F328" s="1796">
        <v>613983</v>
      </c>
      <c r="G328" s="1838" t="s">
        <v>704</v>
      </c>
      <c r="H328" s="1608">
        <v>6000</v>
      </c>
      <c r="I328" s="1575"/>
      <c r="J328" s="1575"/>
      <c r="K328" s="1665"/>
      <c r="L328" s="1627">
        <v>5500</v>
      </c>
      <c r="M328" s="1301"/>
      <c r="N328" s="1302"/>
      <c r="O328" s="1375">
        <f t="shared" si="347"/>
        <v>5500</v>
      </c>
      <c r="P328" s="1627">
        <v>0</v>
      </c>
      <c r="Q328" s="1301"/>
      <c r="R328" s="1302"/>
      <c r="S328" s="1375">
        <f>SUM(P328)</f>
        <v>0</v>
      </c>
      <c r="T328" s="1577">
        <v>7500</v>
      </c>
      <c r="U328" s="1301"/>
      <c r="V328" s="1302"/>
      <c r="W328" s="1375">
        <f t="shared" si="348"/>
        <v>7500</v>
      </c>
      <c r="X328" s="1578">
        <f t="shared" ref="X328:X391" si="356">W328/O328*100</f>
        <v>136.36363636363635</v>
      </c>
      <c r="Y328" s="2457"/>
      <c r="Z328" s="1136"/>
      <c r="AA328" s="1136"/>
      <c r="AB328" s="1293">
        <f t="shared" si="349"/>
        <v>0</v>
      </c>
      <c r="AC328" s="1293">
        <f t="shared" si="354"/>
        <v>0</v>
      </c>
      <c r="AD328" s="1293">
        <f t="shared" ref="AD328:AD391" si="357">W328-O328</f>
        <v>2000</v>
      </c>
      <c r="AE328" s="1293">
        <f t="shared" si="350"/>
        <v>0</v>
      </c>
      <c r="AF328" s="1294"/>
      <c r="AG328" s="1294"/>
      <c r="AH328" s="1294">
        <f t="shared" si="355"/>
        <v>2000</v>
      </c>
      <c r="AI328" s="1294">
        <f t="shared" si="345"/>
        <v>0</v>
      </c>
      <c r="AJ328" s="1293">
        <f t="shared" ref="AJ328:AJ391" si="358">T328+U328+V328-W328</f>
        <v>0</v>
      </c>
      <c r="AK328" s="1294">
        <f t="shared" si="335"/>
        <v>0</v>
      </c>
      <c r="AL328" s="1294">
        <f t="shared" si="320"/>
        <v>0</v>
      </c>
      <c r="AM328" s="1294"/>
      <c r="AN328" s="1294"/>
      <c r="AO328" s="1294"/>
      <c r="AP328" s="1294"/>
      <c r="AQ328" s="1294"/>
      <c r="AR328" s="1294">
        <f t="shared" si="328"/>
        <v>0</v>
      </c>
      <c r="AS328" s="1136"/>
      <c r="AT328" s="668">
        <f t="shared" si="351"/>
        <v>-190000</v>
      </c>
      <c r="AU328" s="463"/>
      <c r="AV328" s="468">
        <f t="shared" si="352"/>
        <v>-190000</v>
      </c>
      <c r="AW328" s="468">
        <f t="shared" si="317"/>
        <v>390000</v>
      </c>
      <c r="AX328" s="272"/>
      <c r="AY328" s="272"/>
      <c r="AZ328" s="272"/>
      <c r="BA328" s="272"/>
      <c r="BB328" s="272"/>
      <c r="BC328" s="437">
        <f t="shared" si="353"/>
        <v>-190000</v>
      </c>
      <c r="BD328" s="437">
        <f t="shared" si="325"/>
        <v>-390000</v>
      </c>
      <c r="BE328">
        <f t="shared" si="313"/>
        <v>0</v>
      </c>
      <c r="BF328" s="437">
        <f t="shared" si="314"/>
        <v>-10.277249355873398</v>
      </c>
    </row>
    <row r="329" spans="1:59" ht="39" customHeight="1">
      <c r="A329" s="1376"/>
      <c r="B329" s="1573"/>
      <c r="C329" s="1573"/>
      <c r="D329" s="1378" t="s">
        <v>319</v>
      </c>
      <c r="E329" s="1378" t="s">
        <v>469</v>
      </c>
      <c r="F329" s="1797">
        <v>613991</v>
      </c>
      <c r="G329" s="1837" t="s">
        <v>235</v>
      </c>
      <c r="H329" s="1575">
        <v>10000</v>
      </c>
      <c r="I329" s="1575"/>
      <c r="J329" s="1575"/>
      <c r="K329" s="1665"/>
      <c r="L329" s="1577">
        <v>10000</v>
      </c>
      <c r="M329" s="1301"/>
      <c r="N329" s="1302"/>
      <c r="O329" s="1375">
        <f t="shared" si="347"/>
        <v>10000</v>
      </c>
      <c r="P329" s="1577">
        <v>10000</v>
      </c>
      <c r="Q329" s="1301"/>
      <c r="R329" s="1302"/>
      <c r="S329" s="1375">
        <f>SUM(P329)</f>
        <v>10000</v>
      </c>
      <c r="T329" s="1577">
        <v>10000</v>
      </c>
      <c r="U329" s="1301"/>
      <c r="V329" s="1302"/>
      <c r="W329" s="1375">
        <f t="shared" si="348"/>
        <v>10000</v>
      </c>
      <c r="X329" s="1578">
        <f t="shared" si="356"/>
        <v>100</v>
      </c>
      <c r="Y329" s="2457"/>
      <c r="Z329" s="1136"/>
      <c r="AA329" s="1136"/>
      <c r="AB329" s="1293">
        <f t="shared" si="349"/>
        <v>0</v>
      </c>
      <c r="AC329" s="1293">
        <f t="shared" si="354"/>
        <v>0</v>
      </c>
      <c r="AD329" s="1293">
        <f t="shared" si="357"/>
        <v>0</v>
      </c>
      <c r="AE329" s="1293">
        <f t="shared" si="350"/>
        <v>0</v>
      </c>
      <c r="AF329" s="1294"/>
      <c r="AG329" s="1294"/>
      <c r="AH329" s="1294">
        <f t="shared" si="355"/>
        <v>0</v>
      </c>
      <c r="AI329" s="1294">
        <f t="shared" si="345"/>
        <v>0</v>
      </c>
      <c r="AJ329" s="1293">
        <f t="shared" si="358"/>
        <v>0</v>
      </c>
      <c r="AK329" s="1294">
        <f t="shared" si="335"/>
        <v>0</v>
      </c>
      <c r="AL329" s="1294">
        <f t="shared" si="320"/>
        <v>0</v>
      </c>
      <c r="AM329" s="1294"/>
      <c r="AN329" s="1294"/>
      <c r="AO329" s="1294"/>
      <c r="AP329" s="1294"/>
      <c r="AQ329" s="1294"/>
      <c r="AR329" s="1294">
        <f t="shared" si="328"/>
        <v>0</v>
      </c>
      <c r="AS329" s="1136"/>
      <c r="AT329" s="668">
        <f t="shared" si="351"/>
        <v>200000</v>
      </c>
      <c r="AU329" s="463"/>
      <c r="AV329" s="468">
        <f t="shared" si="352"/>
        <v>200000</v>
      </c>
      <c r="AW329" s="468">
        <f t="shared" si="317"/>
        <v>-200000</v>
      </c>
      <c r="AX329" s="272"/>
      <c r="AY329" s="272"/>
      <c r="AZ329" s="272"/>
      <c r="BA329" s="272"/>
      <c r="BB329" s="272"/>
      <c r="BC329" s="437">
        <f t="shared" si="353"/>
        <v>200000</v>
      </c>
      <c r="BD329" s="437">
        <f t="shared" si="325"/>
        <v>200000</v>
      </c>
      <c r="BE329">
        <f t="shared" si="313"/>
        <v>0</v>
      </c>
      <c r="BF329" s="437">
        <f t="shared" si="314"/>
        <v>0</v>
      </c>
    </row>
    <row r="330" spans="1:59" ht="39" customHeight="1">
      <c r="A330" s="1376"/>
      <c r="B330" s="1573"/>
      <c r="C330" s="1573"/>
      <c r="D330" s="1378" t="s">
        <v>319</v>
      </c>
      <c r="E330" s="1378"/>
      <c r="F330" s="1797">
        <v>613991</v>
      </c>
      <c r="G330" s="1837" t="s">
        <v>720</v>
      </c>
      <c r="H330" s="1575">
        <v>10000</v>
      </c>
      <c r="I330" s="1575"/>
      <c r="J330" s="1575"/>
      <c r="K330" s="1374">
        <v>10000</v>
      </c>
      <c r="L330" s="1577">
        <v>10000</v>
      </c>
      <c r="M330" s="1301"/>
      <c r="N330" s="1302"/>
      <c r="O330" s="1375">
        <f t="shared" si="347"/>
        <v>10000</v>
      </c>
      <c r="P330" s="1577">
        <v>10000</v>
      </c>
      <c r="Q330" s="1301"/>
      <c r="R330" s="1302"/>
      <c r="S330" s="1375">
        <v>10000</v>
      </c>
      <c r="T330" s="1577">
        <v>10000</v>
      </c>
      <c r="U330" s="1301"/>
      <c r="V330" s="1302"/>
      <c r="W330" s="1375">
        <f t="shared" si="348"/>
        <v>10000</v>
      </c>
      <c r="X330" s="1578">
        <f t="shared" si="356"/>
        <v>100</v>
      </c>
      <c r="Y330" s="2457"/>
      <c r="Z330" s="1136"/>
      <c r="AA330" s="1136"/>
      <c r="AB330" s="1293">
        <f t="shared" si="349"/>
        <v>0</v>
      </c>
      <c r="AC330" s="1293">
        <f t="shared" si="354"/>
        <v>0</v>
      </c>
      <c r="AD330" s="1293">
        <f t="shared" si="357"/>
        <v>0</v>
      </c>
      <c r="AE330" s="1293">
        <f t="shared" si="350"/>
        <v>0</v>
      </c>
      <c r="AF330" s="1294"/>
      <c r="AG330" s="1294"/>
      <c r="AH330" s="1294">
        <f t="shared" si="355"/>
        <v>0</v>
      </c>
      <c r="AI330" s="1294">
        <f t="shared" si="345"/>
        <v>0</v>
      </c>
      <c r="AJ330" s="1293">
        <f t="shared" si="358"/>
        <v>0</v>
      </c>
      <c r="AK330" s="1294">
        <f t="shared" si="335"/>
        <v>0</v>
      </c>
      <c r="AL330" s="1294">
        <f t="shared" si="320"/>
        <v>0</v>
      </c>
      <c r="AM330" s="1294"/>
      <c r="AN330" s="1294"/>
      <c r="AO330" s="1294"/>
      <c r="AP330" s="1294"/>
      <c r="AQ330" s="1294"/>
      <c r="AR330" s="1294">
        <f t="shared" si="328"/>
        <v>0</v>
      </c>
      <c r="AS330" s="1136"/>
      <c r="AT330" s="668">
        <f t="shared" si="351"/>
        <v>0</v>
      </c>
      <c r="AU330" s="463"/>
      <c r="AV330" s="468">
        <f t="shared" si="352"/>
        <v>0</v>
      </c>
      <c r="AW330" s="468">
        <f t="shared" si="317"/>
        <v>0</v>
      </c>
      <c r="AX330" s="272"/>
      <c r="AY330" s="272"/>
      <c r="AZ330" s="272"/>
      <c r="BA330" s="272"/>
      <c r="BB330" s="272"/>
      <c r="BC330" s="437">
        <f t="shared" si="353"/>
        <v>0</v>
      </c>
      <c r="BD330" s="437">
        <f t="shared" si="325"/>
        <v>0</v>
      </c>
      <c r="BE330">
        <f t="shared" si="313"/>
        <v>5.1386246779366989</v>
      </c>
      <c r="BF330" s="437">
        <f t="shared" si="314"/>
        <v>5.1386246779366989</v>
      </c>
    </row>
    <row r="331" spans="1:59" ht="39" customHeight="1">
      <c r="A331" s="1594" t="s">
        <v>593</v>
      </c>
      <c r="B331" s="1595"/>
      <c r="C331" s="1595"/>
      <c r="D331" s="1657"/>
      <c r="E331" s="1657"/>
      <c r="F331" s="1819"/>
      <c r="G331" s="1863" t="s">
        <v>470</v>
      </c>
      <c r="H331" s="1619">
        <f>SUM(H332:H337)</f>
        <v>77500</v>
      </c>
      <c r="I331" s="1619">
        <f>SUM(I332:I337)</f>
        <v>0</v>
      </c>
      <c r="J331" s="1619">
        <f>SUM(J332:J337)</f>
        <v>516000</v>
      </c>
      <c r="K331" s="1585" t="e">
        <f>K332+#REF!+K334+K335+K337</f>
        <v>#REF!</v>
      </c>
      <c r="L331" s="1620">
        <f>SUM(L332:L337)</f>
        <v>464500</v>
      </c>
      <c r="M331" s="1313">
        <f>SUM(M332:M337,M338)</f>
        <v>1175231</v>
      </c>
      <c r="N331" s="1314">
        <f>SUM(N332:N337)</f>
        <v>306315</v>
      </c>
      <c r="O331" s="1335">
        <f>SUM(O332:O337,O338)</f>
        <v>1946046</v>
      </c>
      <c r="P331" s="1620">
        <f t="shared" ref="P331:S331" si="359">SUM(P332:P334)</f>
        <v>0</v>
      </c>
      <c r="Q331" s="1313">
        <f t="shared" si="359"/>
        <v>0</v>
      </c>
      <c r="R331" s="1314">
        <f t="shared" si="359"/>
        <v>0</v>
      </c>
      <c r="S331" s="1335">
        <f t="shared" si="359"/>
        <v>0</v>
      </c>
      <c r="T331" s="1620">
        <f>SUM(T332:T338)</f>
        <v>100000</v>
      </c>
      <c r="U331" s="1313">
        <f t="shared" ref="U331:V331" si="360">SUM(U332:U338)</f>
        <v>100000</v>
      </c>
      <c r="V331" s="1314">
        <f t="shared" si="360"/>
        <v>0</v>
      </c>
      <c r="W331" s="1484">
        <f>SUM(W332:W338)</f>
        <v>200000</v>
      </c>
      <c r="X331" s="1598">
        <f t="shared" si="356"/>
        <v>10.277249355873398</v>
      </c>
      <c r="Y331" s="758">
        <f>'[1]PRIH REBALANS'!$AK$822</f>
        <v>200000</v>
      </c>
      <c r="Z331" s="1135"/>
      <c r="AA331" s="1135">
        <f>'[9]PRIH REBALANS'!$AK$822</f>
        <v>200000</v>
      </c>
      <c r="AB331" s="1293">
        <f t="shared" si="349"/>
        <v>0</v>
      </c>
      <c r="AC331" s="1293">
        <f t="shared" si="354"/>
        <v>0</v>
      </c>
      <c r="AD331" s="1293">
        <f t="shared" si="357"/>
        <v>-1746046</v>
      </c>
      <c r="AE331" s="1293">
        <f t="shared" si="350"/>
        <v>0</v>
      </c>
      <c r="AF331" s="1293"/>
      <c r="AG331" s="1293"/>
      <c r="AH331" s="1294">
        <f t="shared" si="355"/>
        <v>-364500</v>
      </c>
      <c r="AI331" s="1294">
        <f t="shared" si="345"/>
        <v>0</v>
      </c>
      <c r="AJ331" s="1293">
        <f t="shared" si="358"/>
        <v>0</v>
      </c>
      <c r="AK331" s="1294">
        <f t="shared" si="335"/>
        <v>0</v>
      </c>
      <c r="AL331" s="1294">
        <f t="shared" si="320"/>
        <v>0</v>
      </c>
      <c r="AM331" s="1294"/>
      <c r="AN331" s="1294"/>
      <c r="AO331" s="1294"/>
      <c r="AP331" s="1294"/>
      <c r="AQ331" s="1294"/>
      <c r="AR331" s="1294">
        <f t="shared" si="328"/>
        <v>0</v>
      </c>
      <c r="AS331" s="1135">
        <f>SUM(W335:W341)</f>
        <v>10802334</v>
      </c>
      <c r="AT331" s="668">
        <f t="shared" si="351"/>
        <v>-100000</v>
      </c>
      <c r="AU331" s="463">
        <f>SUM(W335:W341)</f>
        <v>10802334</v>
      </c>
      <c r="AV331" s="468">
        <f t="shared" si="352"/>
        <v>-100000</v>
      </c>
      <c r="AW331" s="468">
        <f t="shared" si="317"/>
        <v>200000</v>
      </c>
      <c r="AX331" s="668"/>
      <c r="AY331" s="668"/>
      <c r="AZ331" s="668"/>
      <c r="BA331" s="668"/>
      <c r="BB331" s="668"/>
      <c r="BC331" s="437">
        <f>'[2]PRIH REBALANS'!$AK$836</f>
        <v>1946046</v>
      </c>
      <c r="BD331" s="437">
        <f t="shared" si="325"/>
        <v>1846046</v>
      </c>
      <c r="BE331">
        <f t="shared" si="313"/>
        <v>0</v>
      </c>
      <c r="BF331" s="437">
        <f t="shared" si="314"/>
        <v>-100</v>
      </c>
      <c r="BG331" s="209">
        <f>SUM(W335:W341)</f>
        <v>10802334</v>
      </c>
    </row>
    <row r="332" spans="1:59" ht="39" customHeight="1">
      <c r="A332" s="1376"/>
      <c r="B332" s="1377"/>
      <c r="C332" s="1377"/>
      <c r="D332" s="1574" t="s">
        <v>319</v>
      </c>
      <c r="E332" s="1574"/>
      <c r="F332" s="1817">
        <v>613900</v>
      </c>
      <c r="G332" s="1864" t="s">
        <v>249</v>
      </c>
      <c r="H332" s="1669">
        <v>7500</v>
      </c>
      <c r="I332" s="1380"/>
      <c r="J332" s="1380"/>
      <c r="K332" s="1374">
        <f>H332</f>
        <v>7500</v>
      </c>
      <c r="L332" s="1577">
        <v>9500</v>
      </c>
      <c r="M332" s="1301"/>
      <c r="N332" s="1302"/>
      <c r="O332" s="1375">
        <f>SUM(L332:N332)</f>
        <v>9500</v>
      </c>
      <c r="P332" s="1601"/>
      <c r="Q332" s="1303"/>
      <c r="R332" s="1304"/>
      <c r="S332" s="1375">
        <f>SUM(P332:R332)</f>
        <v>0</v>
      </c>
      <c r="T332" s="1601"/>
      <c r="U332" s="1303"/>
      <c r="V332" s="1304"/>
      <c r="W332" s="1375">
        <f>SUM(T332:V332)</f>
        <v>0</v>
      </c>
      <c r="X332" s="1578">
        <f t="shared" si="356"/>
        <v>0</v>
      </c>
      <c r="Y332" s="2457"/>
      <c r="Z332" s="1136"/>
      <c r="AA332" s="1136"/>
      <c r="AB332" s="1293">
        <f t="shared" si="349"/>
        <v>0</v>
      </c>
      <c r="AC332" s="1293">
        <f t="shared" si="354"/>
        <v>0</v>
      </c>
      <c r="AD332" s="1293">
        <f t="shared" si="357"/>
        <v>-9500</v>
      </c>
      <c r="AE332" s="1293">
        <f t="shared" si="350"/>
        <v>0</v>
      </c>
      <c r="AF332" s="1294"/>
      <c r="AG332" s="1294"/>
      <c r="AH332" s="1294">
        <f t="shared" si="355"/>
        <v>-9500</v>
      </c>
      <c r="AI332" s="1294">
        <f t="shared" si="345"/>
        <v>0</v>
      </c>
      <c r="AJ332" s="1293">
        <f t="shared" si="358"/>
        <v>0</v>
      </c>
      <c r="AK332" s="1294">
        <f t="shared" si="335"/>
        <v>0</v>
      </c>
      <c r="AL332" s="1294">
        <f t="shared" si="320"/>
        <v>0</v>
      </c>
      <c r="AM332" s="1294"/>
      <c r="AN332" s="1294"/>
      <c r="AO332" s="1294"/>
      <c r="AP332" s="1294"/>
      <c r="AQ332" s="1294"/>
      <c r="AR332" s="1294">
        <f t="shared" si="328"/>
        <v>0</v>
      </c>
      <c r="AS332" s="1136"/>
      <c r="AT332" s="668">
        <f t="shared" si="351"/>
        <v>100000</v>
      </c>
      <c r="AU332" s="463"/>
      <c r="AV332" s="468">
        <f t="shared" si="352"/>
        <v>100000</v>
      </c>
      <c r="AW332" s="468">
        <f t="shared" si="317"/>
        <v>-100000</v>
      </c>
      <c r="AX332" s="272"/>
      <c r="AY332" s="272"/>
      <c r="AZ332" s="272"/>
      <c r="BA332" s="272"/>
      <c r="BB332" s="272"/>
      <c r="BC332" s="437">
        <f>'[2]PRIH REBALANS'!$AG$837+'[2]PRIH REBALANS'!$AG$838</f>
        <v>9500</v>
      </c>
      <c r="BD332" s="437"/>
      <c r="BF332" s="437"/>
      <c r="BG332" s="209"/>
    </row>
    <row r="333" spans="1:59" ht="39" customHeight="1">
      <c r="A333" s="1376"/>
      <c r="B333" s="1377"/>
      <c r="C333" s="1377"/>
      <c r="D333" s="1574" t="s">
        <v>554</v>
      </c>
      <c r="E333" s="1574"/>
      <c r="F333" s="1817">
        <v>613900</v>
      </c>
      <c r="G333" s="1864" t="s">
        <v>1546</v>
      </c>
      <c r="H333" s="1669"/>
      <c r="I333" s="1380"/>
      <c r="J333" s="1380"/>
      <c r="K333" s="1374"/>
      <c r="L333" s="1577"/>
      <c r="M333" s="1301"/>
      <c r="N333" s="1302"/>
      <c r="O333" s="1375"/>
      <c r="P333" s="1601"/>
      <c r="Q333" s="1303"/>
      <c r="R333" s="1304"/>
      <c r="S333" s="1375">
        <f t="shared" ref="S333:S338" si="361">SUM(P333:R333)</f>
        <v>0</v>
      </c>
      <c r="T333" s="1601"/>
      <c r="U333" s="1303"/>
      <c r="V333" s="1304"/>
      <c r="W333" s="1375">
        <f t="shared" ref="W333:W338" si="362">SUM(T333:V333)</f>
        <v>0</v>
      </c>
      <c r="X333" s="1578"/>
      <c r="Y333" s="2457"/>
      <c r="Z333" s="1136"/>
      <c r="AA333" s="1136"/>
      <c r="AB333" s="1293">
        <f t="shared" si="349"/>
        <v>0</v>
      </c>
      <c r="AC333" s="1293">
        <f t="shared" si="354"/>
        <v>0</v>
      </c>
      <c r="AD333" s="1293">
        <f t="shared" si="357"/>
        <v>0</v>
      </c>
      <c r="AE333" s="1293">
        <f t="shared" si="350"/>
        <v>0</v>
      </c>
      <c r="AF333" s="1294"/>
      <c r="AG333" s="1294"/>
      <c r="AH333" s="1294">
        <f t="shared" si="355"/>
        <v>0</v>
      </c>
      <c r="AI333" s="1294">
        <f t="shared" si="345"/>
        <v>0</v>
      </c>
      <c r="AJ333" s="1293">
        <f t="shared" si="358"/>
        <v>0</v>
      </c>
      <c r="AK333" s="1294">
        <f t="shared" si="335"/>
        <v>0</v>
      </c>
      <c r="AL333" s="1294">
        <f t="shared" si="320"/>
        <v>0</v>
      </c>
      <c r="AM333" s="1294"/>
      <c r="AN333" s="1294"/>
      <c r="AO333" s="1294"/>
      <c r="AP333" s="1294"/>
      <c r="AQ333" s="1294"/>
      <c r="AR333" s="1294">
        <f t="shared" si="328"/>
        <v>0</v>
      </c>
      <c r="AS333" s="1136"/>
      <c r="AT333" s="668">
        <f t="shared" si="351"/>
        <v>0</v>
      </c>
      <c r="AU333" s="463"/>
      <c r="AV333" s="468"/>
      <c r="AW333" s="468"/>
      <c r="AX333" s="272"/>
      <c r="AY333" s="272"/>
      <c r="AZ333" s="272"/>
      <c r="BA333" s="272"/>
      <c r="BB333" s="272"/>
      <c r="BC333" s="437"/>
      <c r="BD333" s="437"/>
      <c r="BF333" s="437"/>
      <c r="BG333" s="209"/>
    </row>
    <row r="334" spans="1:59" ht="39" customHeight="1">
      <c r="A334" s="1376"/>
      <c r="B334" s="1377"/>
      <c r="C334" s="1377"/>
      <c r="D334" s="1574" t="s">
        <v>1563</v>
      </c>
      <c r="E334" s="1574"/>
      <c r="F334" s="1817">
        <v>614300</v>
      </c>
      <c r="G334" s="1865" t="s">
        <v>590</v>
      </c>
      <c r="H334" s="1575">
        <v>50000</v>
      </c>
      <c r="I334" s="1575"/>
      <c r="J334" s="1575">
        <v>409500</v>
      </c>
      <c r="K334" s="1381" t="e">
        <f>#REF!</f>
        <v>#REF!</v>
      </c>
      <c r="L334" s="1577">
        <v>100000</v>
      </c>
      <c r="M334" s="1301"/>
      <c r="N334" s="1302"/>
      <c r="O334" s="1375">
        <f t="shared" ref="O334:O338" si="363">SUM(L334:N334)</f>
        <v>100000</v>
      </c>
      <c r="P334" s="1601"/>
      <c r="Q334" s="1303"/>
      <c r="R334" s="1304"/>
      <c r="S334" s="1375">
        <f t="shared" si="361"/>
        <v>0</v>
      </c>
      <c r="T334" s="1601">
        <v>100000</v>
      </c>
      <c r="U334" s="1303"/>
      <c r="V334" s="1304"/>
      <c r="W334" s="1375">
        <f t="shared" si="362"/>
        <v>100000</v>
      </c>
      <c r="X334" s="1578">
        <f t="shared" si="356"/>
        <v>100</v>
      </c>
      <c r="Y334" s="2457"/>
      <c r="Z334" s="1136"/>
      <c r="AA334" s="1136"/>
      <c r="AB334" s="1293">
        <f t="shared" si="349"/>
        <v>0</v>
      </c>
      <c r="AC334" s="1293">
        <f t="shared" si="354"/>
        <v>0</v>
      </c>
      <c r="AD334" s="1293">
        <f t="shared" si="357"/>
        <v>0</v>
      </c>
      <c r="AE334" s="1293">
        <f t="shared" si="350"/>
        <v>0</v>
      </c>
      <c r="AF334" s="1294"/>
      <c r="AG334" s="1294"/>
      <c r="AH334" s="1294">
        <f t="shared" si="355"/>
        <v>0</v>
      </c>
      <c r="AI334" s="1294">
        <f t="shared" si="345"/>
        <v>0</v>
      </c>
      <c r="AJ334" s="1293">
        <f t="shared" si="358"/>
        <v>0</v>
      </c>
      <c r="AK334" s="1294">
        <f t="shared" si="335"/>
        <v>0</v>
      </c>
      <c r="AL334" s="1294">
        <f t="shared" si="320"/>
        <v>0</v>
      </c>
      <c r="AM334" s="1294"/>
      <c r="AN334" s="1294"/>
      <c r="AO334" s="1294"/>
      <c r="AP334" s="1294"/>
      <c r="AQ334" s="1294"/>
      <c r="AR334" s="1294">
        <f t="shared" si="328"/>
        <v>0</v>
      </c>
      <c r="AS334" s="1136"/>
      <c r="AT334" s="668">
        <f t="shared" si="351"/>
        <v>-100000</v>
      </c>
      <c r="AU334" s="463"/>
      <c r="AV334" s="468">
        <f t="shared" ref="AV334:AV348" si="364">T336+U336+V336-W337</f>
        <v>-100000</v>
      </c>
      <c r="AW334" s="468">
        <f t="shared" ref="AW334:AW348" si="365">W337-AV334</f>
        <v>200000</v>
      </c>
      <c r="AX334" s="272"/>
      <c r="AY334" s="272"/>
      <c r="AZ334" s="272"/>
      <c r="BA334" s="272"/>
      <c r="BB334" s="272"/>
      <c r="BC334" s="437">
        <f>'[2]PRIH REBALANS'!$AG$847</f>
        <v>100000</v>
      </c>
      <c r="BD334" s="437"/>
      <c r="BE334">
        <f>W338/O335*100</f>
        <v>0</v>
      </c>
      <c r="BF334" s="437">
        <f>BE334-X337</f>
        <v>-25.641025641025639</v>
      </c>
    </row>
    <row r="335" spans="1:59" ht="39" customHeight="1">
      <c r="A335" s="1376"/>
      <c r="B335" s="1377"/>
      <c r="C335" s="1377"/>
      <c r="D335" s="1574" t="s">
        <v>339</v>
      </c>
      <c r="E335" s="1373">
        <v>621</v>
      </c>
      <c r="F335" s="1817">
        <v>615000</v>
      </c>
      <c r="G335" s="1865" t="s">
        <v>587</v>
      </c>
      <c r="H335" s="1575"/>
      <c r="I335" s="1575"/>
      <c r="J335" s="1575">
        <v>106500</v>
      </c>
      <c r="K335" s="1381">
        <f>H334+H335</f>
        <v>50000</v>
      </c>
      <c r="L335" s="1577">
        <v>75000</v>
      </c>
      <c r="M335" s="1301"/>
      <c r="N335" s="1302">
        <v>181000</v>
      </c>
      <c r="O335" s="1375">
        <f t="shared" si="363"/>
        <v>256000</v>
      </c>
      <c r="P335" s="1601"/>
      <c r="Q335" s="1303"/>
      <c r="R335" s="1304"/>
      <c r="S335" s="1375">
        <f t="shared" si="361"/>
        <v>0</v>
      </c>
      <c r="T335" s="1601"/>
      <c r="U335" s="1303"/>
      <c r="V335" s="1304"/>
      <c r="W335" s="1375">
        <f t="shared" si="362"/>
        <v>0</v>
      </c>
      <c r="X335" s="1578">
        <f t="shared" si="356"/>
        <v>0</v>
      </c>
      <c r="Y335" s="2457"/>
      <c r="Z335" s="1136"/>
      <c r="AA335" s="1136"/>
      <c r="AB335" s="1293">
        <f t="shared" si="349"/>
        <v>0</v>
      </c>
      <c r="AC335" s="1293">
        <f t="shared" si="354"/>
        <v>0</v>
      </c>
      <c r="AD335" s="1293">
        <f t="shared" si="357"/>
        <v>-256000</v>
      </c>
      <c r="AE335" s="1293">
        <f t="shared" si="350"/>
        <v>0</v>
      </c>
      <c r="AF335" s="1294"/>
      <c r="AG335" s="1294"/>
      <c r="AH335" s="1294">
        <f t="shared" si="355"/>
        <v>-75000</v>
      </c>
      <c r="AI335" s="1294">
        <f t="shared" si="345"/>
        <v>0</v>
      </c>
      <c r="AJ335" s="1293">
        <f t="shared" si="358"/>
        <v>0</v>
      </c>
      <c r="AK335" s="1294">
        <f t="shared" si="335"/>
        <v>0</v>
      </c>
      <c r="AL335" s="1294">
        <f t="shared" ref="AL335:AL366" si="366">T335+U335+V335-W335</f>
        <v>0</v>
      </c>
      <c r="AM335" s="1294"/>
      <c r="AN335" s="1294"/>
      <c r="AO335" s="1294"/>
      <c r="AP335" s="1294"/>
      <c r="AQ335" s="1294"/>
      <c r="AR335" s="1294">
        <f t="shared" si="328"/>
        <v>0</v>
      </c>
      <c r="AS335" s="1136"/>
      <c r="AT335" s="668">
        <f t="shared" si="351"/>
        <v>100000</v>
      </c>
      <c r="AU335" s="463"/>
      <c r="AV335" s="468">
        <f t="shared" si="364"/>
        <v>100000</v>
      </c>
      <c r="AW335" s="468">
        <f t="shared" si="365"/>
        <v>-100000</v>
      </c>
      <c r="AX335" s="272"/>
      <c r="AY335" s="272"/>
      <c r="AZ335" s="272"/>
      <c r="BA335" s="272"/>
      <c r="BB335" s="272"/>
      <c r="BC335" s="437">
        <f>'[2]PRIH REBALANS'!$AG$842</f>
        <v>75000</v>
      </c>
      <c r="BD335" s="437"/>
      <c r="BF335" s="437"/>
    </row>
    <row r="336" spans="1:59" ht="39" customHeight="1">
      <c r="A336" s="1376"/>
      <c r="B336" s="1377"/>
      <c r="C336" s="1377"/>
      <c r="D336" s="1574" t="s">
        <v>1584</v>
      </c>
      <c r="E336" s="1373"/>
      <c r="F336" s="1817">
        <v>615001</v>
      </c>
      <c r="G336" s="1865" t="s">
        <v>1473</v>
      </c>
      <c r="H336" s="1575"/>
      <c r="I336" s="1575"/>
      <c r="J336" s="1575"/>
      <c r="K336" s="1381"/>
      <c r="L336" s="1577"/>
      <c r="M336" s="1301"/>
      <c r="N336" s="1302">
        <v>125315</v>
      </c>
      <c r="O336" s="1375">
        <f t="shared" si="363"/>
        <v>125315</v>
      </c>
      <c r="P336" s="1601"/>
      <c r="Q336" s="1303"/>
      <c r="R336" s="1304"/>
      <c r="S336" s="1375">
        <f t="shared" si="361"/>
        <v>0</v>
      </c>
      <c r="T336" s="1601"/>
      <c r="U336" s="1303"/>
      <c r="V336" s="1304"/>
      <c r="W336" s="1375">
        <f t="shared" si="362"/>
        <v>0</v>
      </c>
      <c r="X336" s="1578">
        <f t="shared" si="356"/>
        <v>0</v>
      </c>
      <c r="Y336" s="2457"/>
      <c r="Z336" s="1136"/>
      <c r="AA336" s="1136"/>
      <c r="AB336" s="1293">
        <f t="shared" si="349"/>
        <v>0</v>
      </c>
      <c r="AC336" s="1293">
        <f t="shared" si="354"/>
        <v>0</v>
      </c>
      <c r="AD336" s="1293">
        <f t="shared" si="357"/>
        <v>-125315</v>
      </c>
      <c r="AE336" s="1293">
        <f t="shared" si="350"/>
        <v>0</v>
      </c>
      <c r="AF336" s="1294"/>
      <c r="AG336" s="1294"/>
      <c r="AH336" s="1294">
        <f t="shared" si="355"/>
        <v>0</v>
      </c>
      <c r="AI336" s="1294">
        <f t="shared" si="345"/>
        <v>0</v>
      </c>
      <c r="AJ336" s="1293">
        <f t="shared" si="358"/>
        <v>0</v>
      </c>
      <c r="AK336" s="1294">
        <f t="shared" si="335"/>
        <v>0</v>
      </c>
      <c r="AL336" s="1294">
        <f t="shared" si="366"/>
        <v>0</v>
      </c>
      <c r="AM336" s="1294"/>
      <c r="AN336" s="1294"/>
      <c r="AO336" s="1294"/>
      <c r="AP336" s="1294"/>
      <c r="AQ336" s="1294"/>
      <c r="AR336" s="1294">
        <f t="shared" si="328"/>
        <v>0</v>
      </c>
      <c r="AS336" s="1136"/>
      <c r="AT336" s="668">
        <f t="shared" si="351"/>
        <v>-6416167</v>
      </c>
      <c r="AU336" s="463"/>
      <c r="AV336" s="468">
        <f t="shared" si="364"/>
        <v>-6416167</v>
      </c>
      <c r="AW336" s="468">
        <f t="shared" si="365"/>
        <v>12832334</v>
      </c>
      <c r="AX336" s="272"/>
      <c r="AY336" s="272"/>
      <c r="AZ336" s="272"/>
      <c r="BA336" s="272"/>
      <c r="BB336" s="272"/>
      <c r="BC336" s="437">
        <f>'[2]PRIH REBALANS'!$AI$842+'[2]PRIH REBALANS'!$AI$843</f>
        <v>125315</v>
      </c>
      <c r="BD336" s="437"/>
      <c r="BE336">
        <f t="shared" ref="BE336:BE347" si="367">W340/O337*100</f>
        <v>1034.9146153846154</v>
      </c>
      <c r="BF336" s="437">
        <f t="shared" ref="BF336:BF348" si="368">BE336-X339</f>
        <v>1011.0969802211979</v>
      </c>
    </row>
    <row r="337" spans="1:59" ht="39" customHeight="1">
      <c r="A337" s="1376"/>
      <c r="B337" s="1377"/>
      <c r="C337" s="1377"/>
      <c r="D337" s="1574" t="s">
        <v>1585</v>
      </c>
      <c r="E337" s="1373">
        <v>621</v>
      </c>
      <c r="F337" s="1817">
        <v>821000</v>
      </c>
      <c r="G337" s="1865" t="s">
        <v>468</v>
      </c>
      <c r="H337" s="1575">
        <v>20000</v>
      </c>
      <c r="I337" s="1575"/>
      <c r="J337" s="1575"/>
      <c r="K337" s="1381" t="e">
        <f>H337+#REF!+#REF!+#REF!+#REF!+#REF!+#REF!+#REF!+#REF!+#REF!</f>
        <v>#REF!</v>
      </c>
      <c r="L337" s="1577">
        <v>280000</v>
      </c>
      <c r="M337" s="1301">
        <v>110000</v>
      </c>
      <c r="N337" s="1302"/>
      <c r="O337" s="1375">
        <f t="shared" si="363"/>
        <v>390000</v>
      </c>
      <c r="P337" s="1601"/>
      <c r="Q337" s="1303"/>
      <c r="R337" s="1304"/>
      <c r="S337" s="1375">
        <f t="shared" si="361"/>
        <v>0</v>
      </c>
      <c r="T337" s="1577"/>
      <c r="U337" s="1301">
        <v>100000</v>
      </c>
      <c r="V337" s="1302"/>
      <c r="W337" s="1375">
        <f t="shared" si="362"/>
        <v>100000</v>
      </c>
      <c r="X337" s="1578">
        <f t="shared" si="356"/>
        <v>25.641025641025639</v>
      </c>
      <c r="Y337" s="2457"/>
      <c r="Z337" s="1136"/>
      <c r="AA337" s="1136"/>
      <c r="AB337" s="1293">
        <f t="shared" si="349"/>
        <v>0</v>
      </c>
      <c r="AC337" s="1293">
        <f t="shared" si="354"/>
        <v>0</v>
      </c>
      <c r="AD337" s="1293">
        <f t="shared" si="357"/>
        <v>-290000</v>
      </c>
      <c r="AE337" s="1293">
        <f t="shared" si="350"/>
        <v>0</v>
      </c>
      <c r="AF337" s="1294"/>
      <c r="AG337" s="1294"/>
      <c r="AH337" s="1294">
        <f t="shared" si="355"/>
        <v>-280000</v>
      </c>
      <c r="AI337" s="1294">
        <f t="shared" si="345"/>
        <v>0</v>
      </c>
      <c r="AJ337" s="1293">
        <f t="shared" si="358"/>
        <v>0</v>
      </c>
      <c r="AK337" s="1294">
        <f t="shared" si="335"/>
        <v>0</v>
      </c>
      <c r="AL337" s="1294">
        <f t="shared" si="366"/>
        <v>0</v>
      </c>
      <c r="AM337" s="1294"/>
      <c r="AN337" s="1294"/>
      <c r="AO337" s="1294"/>
      <c r="AP337" s="1294"/>
      <c r="AQ337" s="1294"/>
      <c r="AR337" s="1294">
        <f t="shared" si="328"/>
        <v>0</v>
      </c>
      <c r="AS337" s="1136"/>
      <c r="AT337" s="668">
        <f t="shared" si="351"/>
        <v>2380000</v>
      </c>
      <c r="AU337" s="463"/>
      <c r="AV337" s="468">
        <f t="shared" si="364"/>
        <v>2380000</v>
      </c>
      <c r="AW337" s="468">
        <f t="shared" si="365"/>
        <v>1656167</v>
      </c>
      <c r="AX337" s="272"/>
      <c r="AY337" s="272"/>
      <c r="AZ337" s="272"/>
      <c r="BA337" s="272"/>
      <c r="BB337" s="272"/>
      <c r="BC337" s="437">
        <f>'[2]PRIH REBALANS'!$AG$848</f>
        <v>280000</v>
      </c>
      <c r="BD337" s="437"/>
      <c r="BE337">
        <f t="shared" si="367"/>
        <v>23.46908792552977</v>
      </c>
      <c r="BF337" s="437">
        <f t="shared" si="368"/>
        <v>-14.169248920476399</v>
      </c>
    </row>
    <row r="338" spans="1:59" ht="39" customHeight="1">
      <c r="A338" s="1376"/>
      <c r="B338" s="1377"/>
      <c r="C338" s="1377"/>
      <c r="D338" s="1373"/>
      <c r="E338" s="1373"/>
      <c r="F338" s="1817">
        <v>821000</v>
      </c>
      <c r="G338" s="1865" t="s">
        <v>236</v>
      </c>
      <c r="H338" s="1575"/>
      <c r="I338" s="1575"/>
      <c r="J338" s="1575"/>
      <c r="K338" s="1381"/>
      <c r="L338" s="1577"/>
      <c r="M338" s="1301">
        <v>1065231</v>
      </c>
      <c r="N338" s="1302"/>
      <c r="O338" s="1375">
        <f t="shared" si="363"/>
        <v>1065231</v>
      </c>
      <c r="P338" s="1601"/>
      <c r="Q338" s="1303"/>
      <c r="R338" s="1304"/>
      <c r="S338" s="1375">
        <f t="shared" si="361"/>
        <v>0</v>
      </c>
      <c r="T338" s="1577"/>
      <c r="U338" s="1301"/>
      <c r="V338" s="1302"/>
      <c r="W338" s="1375">
        <f t="shared" si="362"/>
        <v>0</v>
      </c>
      <c r="X338" s="1578">
        <f t="shared" si="356"/>
        <v>0</v>
      </c>
      <c r="Y338" s="2457"/>
      <c r="Z338" s="1136"/>
      <c r="AA338" s="1136"/>
      <c r="AB338" s="1293">
        <f t="shared" si="349"/>
        <v>0</v>
      </c>
      <c r="AC338" s="1293">
        <f t="shared" si="354"/>
        <v>0</v>
      </c>
      <c r="AD338" s="1293">
        <f t="shared" si="357"/>
        <v>-1065231</v>
      </c>
      <c r="AE338" s="1293">
        <f t="shared" si="350"/>
        <v>0</v>
      </c>
      <c r="AF338" s="1294"/>
      <c r="AG338" s="1294"/>
      <c r="AH338" s="1294">
        <f t="shared" si="355"/>
        <v>0</v>
      </c>
      <c r="AI338" s="1294">
        <f t="shared" si="345"/>
        <v>0</v>
      </c>
      <c r="AJ338" s="1293">
        <f t="shared" si="358"/>
        <v>0</v>
      </c>
      <c r="AK338" s="1294">
        <f t="shared" si="335"/>
        <v>0</v>
      </c>
      <c r="AL338" s="1294">
        <f t="shared" si="366"/>
        <v>0</v>
      </c>
      <c r="AM338" s="1294"/>
      <c r="AN338" s="1294"/>
      <c r="AO338" s="1294"/>
      <c r="AP338" s="1294"/>
      <c r="AQ338" s="1294"/>
      <c r="AR338" s="1294">
        <f t="shared" si="328"/>
        <v>0</v>
      </c>
      <c r="AS338" s="1136"/>
      <c r="AT338" s="668">
        <f t="shared" si="351"/>
        <v>3786167</v>
      </c>
      <c r="AU338" s="463"/>
      <c r="AV338" s="468">
        <f t="shared" si="364"/>
        <v>3786167</v>
      </c>
      <c r="AW338" s="468">
        <f t="shared" si="365"/>
        <v>-3536167</v>
      </c>
      <c r="AX338" s="272"/>
      <c r="AY338" s="272"/>
      <c r="AZ338" s="272"/>
      <c r="BA338" s="272"/>
      <c r="BB338" s="272"/>
      <c r="BC338" s="437">
        <f>'[2]PRIH REBALANS'!$AI$851+'[2]PRIH REBALANS'!$AI$852+'[2]PRIH REBALANS'!$AI$855+'[2]PRIH REBALANS'!$AI$859</f>
        <v>1065231</v>
      </c>
      <c r="BD338" s="437"/>
      <c r="BE338">
        <f t="shared" si="367"/>
        <v>0.92803207754012396</v>
      </c>
      <c r="BF338" s="437">
        <f t="shared" si="368"/>
        <v>-25.618488576183875</v>
      </c>
    </row>
    <row r="339" spans="1:59" ht="39" customHeight="1">
      <c r="A339" s="1661" t="s">
        <v>594</v>
      </c>
      <c r="B339" s="1595"/>
      <c r="C339" s="1670"/>
      <c r="D339" s="1671">
        <v>223</v>
      </c>
      <c r="E339" s="1672"/>
      <c r="F339" s="1820"/>
      <c r="G339" s="1866" t="s">
        <v>479</v>
      </c>
      <c r="H339" s="1619">
        <f>SUM(H340,H366:H373)</f>
        <v>0</v>
      </c>
      <c r="I339" s="1619" t="e">
        <f>SUM(I340,I366:I373,#REF!)</f>
        <v>#REF!</v>
      </c>
      <c r="J339" s="1619" t="e">
        <f>SUM(J340,J366:J373,#REF!)</f>
        <v>#REF!</v>
      </c>
      <c r="K339" s="1585">
        <f>SUM(K340,K366:K373)</f>
        <v>0</v>
      </c>
      <c r="L339" s="1620">
        <f>SUM(L340,L366:L373)</f>
        <v>0</v>
      </c>
      <c r="M339" s="1313">
        <f>SUM(M340,M366:M373,)</f>
        <v>20233341</v>
      </c>
      <c r="N339" s="1314">
        <f>SUM(N340,N366:N373,)</f>
        <v>6705382</v>
      </c>
      <c r="O339" s="1335">
        <f>SUM(O340,O366:O373)</f>
        <v>26938724</v>
      </c>
      <c r="P339" s="1620"/>
      <c r="Q339" s="1313">
        <f>SUM(Q340+Q367+Q373)</f>
        <v>3623750</v>
      </c>
      <c r="R339" s="1314"/>
      <c r="S339" s="1335">
        <f>SUM(S340+S367+S373)</f>
        <v>2089000</v>
      </c>
      <c r="T339" s="1620"/>
      <c r="U339" s="1313">
        <f>SUM(U340,U366:U373)</f>
        <v>6416167</v>
      </c>
      <c r="V339" s="1314"/>
      <c r="W339" s="1315">
        <f>SUM(W340,W366:W373)</f>
        <v>6416167</v>
      </c>
      <c r="X339" s="1598">
        <f t="shared" si="356"/>
        <v>23.817635163417538</v>
      </c>
      <c r="Y339" s="758">
        <f>'[1]PRIH REBALANS'!$AK$846</f>
        <v>6416167</v>
      </c>
      <c r="Z339" s="1135"/>
      <c r="AA339" s="1135">
        <f>'[1]PRIH REBALANS'!$AH$846</f>
        <v>6416167</v>
      </c>
      <c r="AB339" s="1293">
        <f t="shared" si="349"/>
        <v>0</v>
      </c>
      <c r="AC339" s="1293">
        <f t="shared" si="354"/>
        <v>0</v>
      </c>
      <c r="AD339" s="1293">
        <f t="shared" si="357"/>
        <v>-20522557</v>
      </c>
      <c r="AE339" s="1293">
        <f t="shared" si="350"/>
        <v>0</v>
      </c>
      <c r="AF339" s="1293"/>
      <c r="AG339" s="1293"/>
      <c r="AH339" s="1294">
        <f t="shared" si="355"/>
        <v>0</v>
      </c>
      <c r="AI339" s="1294">
        <f t="shared" si="345"/>
        <v>0</v>
      </c>
      <c r="AJ339" s="1293">
        <f t="shared" si="358"/>
        <v>0</v>
      </c>
      <c r="AK339" s="1294">
        <f t="shared" si="335"/>
        <v>0</v>
      </c>
      <c r="AL339" s="1294">
        <f t="shared" si="366"/>
        <v>0</v>
      </c>
      <c r="AM339" s="1294"/>
      <c r="AN339" s="1294"/>
      <c r="AO339" s="1294"/>
      <c r="AP339" s="1294"/>
      <c r="AQ339" s="1294"/>
      <c r="AR339" s="1294">
        <f t="shared" si="328"/>
        <v>0</v>
      </c>
      <c r="AS339" s="1135">
        <f>SUM(AS340,W371:W377)</f>
        <v>21037111</v>
      </c>
      <c r="AT339" s="668">
        <f t="shared" si="351"/>
        <v>0</v>
      </c>
      <c r="AU339" s="668">
        <f>SUM(AU340,W371:W377)</f>
        <v>27047871</v>
      </c>
      <c r="AV339" s="468">
        <f t="shared" si="364"/>
        <v>0</v>
      </c>
      <c r="AW339" s="468">
        <f t="shared" si="365"/>
        <v>250000</v>
      </c>
      <c r="AX339" s="668">
        <f>AV339-W342</f>
        <v>-250000</v>
      </c>
      <c r="AY339" s="668"/>
      <c r="AZ339" s="668"/>
      <c r="BA339" s="668"/>
      <c r="BB339" s="668"/>
      <c r="BC339" s="437">
        <f>'[2]PRIH REBALANS'!$AK$860</f>
        <v>26938724.660000004</v>
      </c>
      <c r="BD339" s="437">
        <f>BC339-W342</f>
        <v>26688724.660000004</v>
      </c>
      <c r="BE339">
        <f t="shared" si="367"/>
        <v>0</v>
      </c>
      <c r="BF339" s="437">
        <f t="shared" si="368"/>
        <v>-43.647537405939559</v>
      </c>
      <c r="BG339" s="457">
        <f>SUM(BG340,W371:W377)</f>
        <v>17603278</v>
      </c>
    </row>
    <row r="340" spans="1:59" ht="39" customHeight="1">
      <c r="A340" s="1376"/>
      <c r="B340" s="1573"/>
      <c r="C340" s="1377"/>
      <c r="D340" s="1574" t="s">
        <v>1380</v>
      </c>
      <c r="E340" s="1673"/>
      <c r="F340" s="1795">
        <v>821000</v>
      </c>
      <c r="G340" s="1835" t="s">
        <v>721</v>
      </c>
      <c r="H340" s="1380">
        <f>SUM(H341,H344,H347,H350,H354,H358,H361,H364)</f>
        <v>0</v>
      </c>
      <c r="I340" s="1380">
        <f>SUM(I341,I344,I347,I350,I354,I358,I361,I364)</f>
        <v>6871005</v>
      </c>
      <c r="J340" s="1380">
        <f>SUM(J341,J344,J347,J350,J354,J358,J361,J364)</f>
        <v>0</v>
      </c>
      <c r="K340" s="1381">
        <f>SUM(K341,K344,K347,K350,K354,K358,K361,K364)</f>
        <v>0</v>
      </c>
      <c r="L340" s="1601">
        <f>SUM(L341,L344,L347,L350,L354,L358,L361,L364)</f>
        <v>0</v>
      </c>
      <c r="M340" s="1303">
        <f>SUM(M341+M344+M347+M350+M354+M358+M361+M364)</f>
        <v>10723552</v>
      </c>
      <c r="N340" s="1304">
        <f>SUM(N341,N344,N347,N350,N354,N358,N361,N364)</f>
        <v>0</v>
      </c>
      <c r="O340" s="1336">
        <f>SUM(O341,O344,O347,O350,O354,O358,O361,O364)</f>
        <v>10723553</v>
      </c>
      <c r="P340" s="1601"/>
      <c r="Q340" s="1303">
        <f>SUM(Q341+Q344+Q347+Q350+Q354+Q358+Q361+Q364)</f>
        <v>3623750</v>
      </c>
      <c r="R340" s="1304"/>
      <c r="S340" s="1336">
        <f>SUM(S341+S344+S347+S350+S354+S358+S361+S364)</f>
        <v>2089000</v>
      </c>
      <c r="T340" s="1601"/>
      <c r="U340" s="1303">
        <f>SUM(U341+U344+U347+U350+U354+U358+U361+U364)</f>
        <v>4036167</v>
      </c>
      <c r="V340" s="1304"/>
      <c r="W340" s="1316">
        <f>SUM(W341+W344+W347+W350+W354+W358+W361+W364)</f>
        <v>4036167</v>
      </c>
      <c r="X340" s="1578">
        <f t="shared" si="356"/>
        <v>37.638336846006169</v>
      </c>
      <c r="Y340" s="2457">
        <f>'[1]PRIH REBALANS'!$AK$847</f>
        <v>4036167</v>
      </c>
      <c r="Z340" s="1136"/>
      <c r="AA340" s="1136">
        <f>'[1]PRIH REBALANS'!$AK$847</f>
        <v>4036167</v>
      </c>
      <c r="AB340" s="1293">
        <f t="shared" si="349"/>
        <v>0</v>
      </c>
      <c r="AC340" s="1293">
        <f t="shared" si="354"/>
        <v>0</v>
      </c>
      <c r="AD340" s="1293">
        <f t="shared" si="357"/>
        <v>-6687386</v>
      </c>
      <c r="AE340" s="1293">
        <f t="shared" si="350"/>
        <v>0</v>
      </c>
      <c r="AF340" s="1294"/>
      <c r="AG340" s="1294"/>
      <c r="AH340" s="1294">
        <f t="shared" si="355"/>
        <v>0</v>
      </c>
      <c r="AI340" s="1294">
        <f t="shared" si="345"/>
        <v>0</v>
      </c>
      <c r="AJ340" s="1293">
        <f t="shared" si="358"/>
        <v>0</v>
      </c>
      <c r="AK340" s="1294">
        <f t="shared" si="335"/>
        <v>0</v>
      </c>
      <c r="AL340" s="1294">
        <f t="shared" si="366"/>
        <v>0</v>
      </c>
      <c r="AM340" s="1294"/>
      <c r="AN340" s="1294"/>
      <c r="AO340" s="1294"/>
      <c r="AP340" s="1294"/>
      <c r="AQ340" s="1294"/>
      <c r="AR340" s="1294">
        <f t="shared" ref="AR340:AR351" si="369">T340+U340+V340-W340</f>
        <v>0</v>
      </c>
      <c r="AS340" s="1136">
        <f>SUM(W344,W347,W350,W354,W359,W363,W366,W369)</f>
        <v>4995000</v>
      </c>
      <c r="AT340" s="668">
        <f t="shared" si="351"/>
        <v>250000</v>
      </c>
      <c r="AU340" s="463">
        <f>'prihodi posebni dio'!T40</f>
        <v>11005760</v>
      </c>
      <c r="AV340" s="468">
        <f t="shared" si="364"/>
        <v>250000</v>
      </c>
      <c r="AW340" s="468">
        <f t="shared" si="365"/>
        <v>-250000</v>
      </c>
      <c r="AX340" s="463"/>
      <c r="AY340" s="463"/>
      <c r="AZ340" s="463"/>
      <c r="BA340" s="463"/>
      <c r="BB340" s="463"/>
      <c r="BC340" s="437">
        <f>'[2]PRIH REBALANS'!$AK$861</f>
        <v>10723552.660000002</v>
      </c>
      <c r="BD340" s="437">
        <f t="shared" ref="BD340:BD348" si="370">W343-U342</f>
        <v>-250000</v>
      </c>
      <c r="BE340">
        <f t="shared" si="367"/>
        <v>87.072587744214715</v>
      </c>
      <c r="BF340" s="437">
        <f t="shared" si="368"/>
        <v>87.072587744214715</v>
      </c>
      <c r="BG340" s="209">
        <f>U343+U346+U349+U353+U358+U362+U368+U365</f>
        <v>1561167</v>
      </c>
    </row>
    <row r="341" spans="1:59" ht="39" customHeight="1">
      <c r="A341" s="1572"/>
      <c r="B341" s="1573"/>
      <c r="C341" s="1377"/>
      <c r="D341" s="1574" t="s">
        <v>321</v>
      </c>
      <c r="E341" s="1673"/>
      <c r="F341" s="1795" t="s">
        <v>195</v>
      </c>
      <c r="G341" s="1835" t="s">
        <v>722</v>
      </c>
      <c r="H341" s="1380">
        <f>SUM(H342:H343)</f>
        <v>0</v>
      </c>
      <c r="I341" s="1380">
        <f>SUM(I342:I343)</f>
        <v>687066</v>
      </c>
      <c r="J341" s="1380">
        <f>SUM(J342:J343)</f>
        <v>0</v>
      </c>
      <c r="K341" s="1381">
        <f>SUM(K342:K343)</f>
        <v>0</v>
      </c>
      <c r="L341" s="1601">
        <f>SUM(L342:L343)</f>
        <v>0</v>
      </c>
      <c r="M341" s="1303">
        <v>941742</v>
      </c>
      <c r="N341" s="1304">
        <f>SUM(N342:N343)</f>
        <v>0</v>
      </c>
      <c r="O341" s="1336">
        <f>O342+O343</f>
        <v>941743</v>
      </c>
      <c r="P341" s="1601"/>
      <c r="Q341" s="1303">
        <f>SUM(Q342)</f>
        <v>120000</v>
      </c>
      <c r="R341" s="1304"/>
      <c r="S341" s="1336">
        <f>SUM(S342)</f>
        <v>120000</v>
      </c>
      <c r="T341" s="1601"/>
      <c r="U341" s="1303">
        <f>SUM(U342)</f>
        <v>250000</v>
      </c>
      <c r="V341" s="1304"/>
      <c r="W341" s="1316">
        <f>SUM(W342)</f>
        <v>250000</v>
      </c>
      <c r="X341" s="1578">
        <f t="shared" si="356"/>
        <v>26.546520653723999</v>
      </c>
      <c r="Y341" s="2457"/>
      <c r="Z341" s="1136"/>
      <c r="AA341" s="1136">
        <f>'[9]PRIH REBALANS'!$AH$848</f>
        <v>250000</v>
      </c>
      <c r="AB341" s="1293">
        <f t="shared" si="349"/>
        <v>0</v>
      </c>
      <c r="AC341" s="1293">
        <f t="shared" si="354"/>
        <v>0</v>
      </c>
      <c r="AD341" s="1293">
        <f t="shared" si="357"/>
        <v>-691743</v>
      </c>
      <c r="AE341" s="1293">
        <f t="shared" si="350"/>
        <v>0</v>
      </c>
      <c r="AF341" s="1294"/>
      <c r="AG341" s="1294"/>
      <c r="AH341" s="1294">
        <f t="shared" si="355"/>
        <v>0</v>
      </c>
      <c r="AI341" s="1294">
        <f t="shared" si="345"/>
        <v>0</v>
      </c>
      <c r="AJ341" s="1293">
        <f t="shared" si="358"/>
        <v>0</v>
      </c>
      <c r="AK341" s="1294">
        <f t="shared" si="335"/>
        <v>0</v>
      </c>
      <c r="AL341" s="1294">
        <f t="shared" si="366"/>
        <v>0</v>
      </c>
      <c r="AM341" s="1294"/>
      <c r="AN341" s="1294"/>
      <c r="AO341" s="1294"/>
      <c r="AP341" s="1294"/>
      <c r="AQ341" s="1294"/>
      <c r="AR341" s="1294">
        <f t="shared" si="369"/>
        <v>0</v>
      </c>
      <c r="AS341" s="1136"/>
      <c r="AT341" s="668">
        <f t="shared" si="351"/>
        <v>-820000</v>
      </c>
      <c r="AU341" s="463">
        <f>'Sl. za gr. inf GP Pri 6'!G6</f>
        <v>572770</v>
      </c>
      <c r="AV341" s="468">
        <f t="shared" si="364"/>
        <v>-820000</v>
      </c>
      <c r="AW341" s="468">
        <f t="shared" si="365"/>
        <v>1640000</v>
      </c>
      <c r="AX341" s="463"/>
      <c r="AY341" s="463"/>
      <c r="AZ341" s="463"/>
      <c r="BA341" s="463"/>
      <c r="BB341" s="463"/>
      <c r="BC341" s="437">
        <f>T343+U343+V343+-W344</f>
        <v>-820000</v>
      </c>
      <c r="BD341" s="437">
        <f t="shared" si="370"/>
        <v>820000</v>
      </c>
      <c r="BE341">
        <f t="shared" si="367"/>
        <v>143.16392269148176</v>
      </c>
      <c r="BF341" s="437">
        <f t="shared" si="368"/>
        <v>94.765925896373489</v>
      </c>
    </row>
    <row r="342" spans="1:59" ht="39" customHeight="1">
      <c r="A342" s="1572"/>
      <c r="B342" s="1573"/>
      <c r="C342" s="1377"/>
      <c r="D342" s="1574" t="s">
        <v>491</v>
      </c>
      <c r="E342" s="1673"/>
      <c r="F342" s="1796"/>
      <c r="G342" s="1865" t="s">
        <v>480</v>
      </c>
      <c r="H342" s="1575"/>
      <c r="I342" s="1575">
        <v>39060</v>
      </c>
      <c r="J342" s="1575"/>
      <c r="K342" s="1374"/>
      <c r="L342" s="1577"/>
      <c r="M342" s="1301">
        <v>572770</v>
      </c>
      <c r="N342" s="1302"/>
      <c r="O342" s="1375">
        <f>SUM(L342:N342)</f>
        <v>572770</v>
      </c>
      <c r="P342" s="1577"/>
      <c r="Q342" s="1301">
        <v>120000</v>
      </c>
      <c r="R342" s="1302"/>
      <c r="S342" s="1375">
        <f>SUM(P342:R342)</f>
        <v>120000</v>
      </c>
      <c r="T342" s="1577"/>
      <c r="U342" s="1301">
        <v>250000</v>
      </c>
      <c r="V342" s="1302"/>
      <c r="W342" s="1375">
        <f>SUM(T342:V342)</f>
        <v>250000</v>
      </c>
      <c r="X342" s="1578">
        <f t="shared" si="356"/>
        <v>43.647537405939559</v>
      </c>
      <c r="Y342" s="2457"/>
      <c r="Z342" s="1136"/>
      <c r="AA342" s="1136"/>
      <c r="AB342" s="1293">
        <f t="shared" si="349"/>
        <v>0</v>
      </c>
      <c r="AC342" s="1293">
        <f t="shared" si="354"/>
        <v>0</v>
      </c>
      <c r="AD342" s="1293">
        <f t="shared" si="357"/>
        <v>-322770</v>
      </c>
      <c r="AE342" s="1293">
        <f t="shared" si="350"/>
        <v>0</v>
      </c>
      <c r="AF342" s="1294"/>
      <c r="AG342" s="1294"/>
      <c r="AH342" s="1294">
        <f t="shared" si="355"/>
        <v>0</v>
      </c>
      <c r="AI342" s="1294">
        <f t="shared" si="345"/>
        <v>0</v>
      </c>
      <c r="AJ342" s="1293">
        <f t="shared" si="358"/>
        <v>0</v>
      </c>
      <c r="AK342" s="1294">
        <f t="shared" si="335"/>
        <v>0</v>
      </c>
      <c r="AL342" s="1294">
        <f t="shared" si="366"/>
        <v>0</v>
      </c>
      <c r="AM342" s="1294"/>
      <c r="AN342" s="1294"/>
      <c r="AO342" s="1294"/>
      <c r="AP342" s="1294"/>
      <c r="AQ342" s="1294"/>
      <c r="AR342" s="1294">
        <f t="shared" si="369"/>
        <v>0</v>
      </c>
      <c r="AS342" s="1136"/>
      <c r="AT342" s="668">
        <f t="shared" si="351"/>
        <v>0</v>
      </c>
      <c r="AU342" s="463"/>
      <c r="AV342" s="468">
        <f t="shared" si="364"/>
        <v>0</v>
      </c>
      <c r="AW342" s="468">
        <f t="shared" si="365"/>
        <v>820000</v>
      </c>
      <c r="AX342" s="272"/>
      <c r="AY342" s="272"/>
      <c r="AZ342" s="272"/>
      <c r="BA342" s="272"/>
      <c r="BB342" s="272"/>
      <c r="BC342" s="437">
        <f>'[2]PRIH REBALANS'!$AH$863</f>
        <v>572770</v>
      </c>
      <c r="BD342" s="437">
        <f t="shared" si="370"/>
        <v>0</v>
      </c>
      <c r="BE342">
        <f t="shared" si="367"/>
        <v>0</v>
      </c>
      <c r="BF342" s="437">
        <f t="shared" si="368"/>
        <v>-67.48610156658286</v>
      </c>
    </row>
    <row r="343" spans="1:59" ht="39" customHeight="1">
      <c r="A343" s="1376"/>
      <c r="B343" s="1573"/>
      <c r="C343" s="1573"/>
      <c r="D343" s="1574" t="s">
        <v>492</v>
      </c>
      <c r="E343" s="1673"/>
      <c r="F343" s="1796"/>
      <c r="G343" s="1865" t="s">
        <v>1236</v>
      </c>
      <c r="H343" s="1575"/>
      <c r="I343" s="1575">
        <v>648006</v>
      </c>
      <c r="J343" s="1575"/>
      <c r="K343" s="1374"/>
      <c r="L343" s="1577"/>
      <c r="M343" s="1301">
        <v>368973</v>
      </c>
      <c r="N343" s="1302"/>
      <c r="O343" s="1375">
        <f>SUM(L343:N343)</f>
        <v>368973</v>
      </c>
      <c r="P343" s="1577"/>
      <c r="Q343" s="1301"/>
      <c r="R343" s="1302"/>
      <c r="S343" s="1375">
        <f>SUM(P343:R343)</f>
        <v>0</v>
      </c>
      <c r="T343" s="1577"/>
      <c r="U343" s="1301"/>
      <c r="V343" s="1302"/>
      <c r="W343" s="1375">
        <f>SUM(T343:V343)</f>
        <v>0</v>
      </c>
      <c r="X343" s="1578">
        <f t="shared" si="356"/>
        <v>0</v>
      </c>
      <c r="Y343" s="2457"/>
      <c r="Z343" s="1136"/>
      <c r="AA343" s="1136"/>
      <c r="AB343" s="1293">
        <f t="shared" si="349"/>
        <v>0</v>
      </c>
      <c r="AC343" s="1293">
        <f t="shared" si="354"/>
        <v>0</v>
      </c>
      <c r="AD343" s="1293">
        <f t="shared" si="357"/>
        <v>-368973</v>
      </c>
      <c r="AE343" s="1293">
        <f t="shared" si="350"/>
        <v>0</v>
      </c>
      <c r="AF343" s="1294"/>
      <c r="AG343" s="1294"/>
      <c r="AH343" s="1294">
        <f t="shared" si="355"/>
        <v>0</v>
      </c>
      <c r="AI343" s="1294">
        <f t="shared" si="345"/>
        <v>0</v>
      </c>
      <c r="AJ343" s="1293">
        <f t="shared" si="358"/>
        <v>0</v>
      </c>
      <c r="AK343" s="1294">
        <f t="shared" si="335"/>
        <v>0</v>
      </c>
      <c r="AL343" s="1294">
        <f t="shared" si="366"/>
        <v>0</v>
      </c>
      <c r="AM343" s="1294"/>
      <c r="AN343" s="1294"/>
      <c r="AO343" s="1294"/>
      <c r="AP343" s="1294"/>
      <c r="AQ343" s="1294"/>
      <c r="AR343" s="1294">
        <f t="shared" si="369"/>
        <v>0</v>
      </c>
      <c r="AS343" s="1136"/>
      <c r="AT343" s="668">
        <f t="shared" si="351"/>
        <v>820000</v>
      </c>
      <c r="AU343" s="463"/>
      <c r="AV343" s="468">
        <f t="shared" si="364"/>
        <v>820000</v>
      </c>
      <c r="AW343" s="468">
        <f t="shared" si="365"/>
        <v>-820000</v>
      </c>
      <c r="AX343" s="272"/>
      <c r="AY343" s="272"/>
      <c r="AZ343" s="272"/>
      <c r="BA343" s="272"/>
      <c r="BB343" s="272"/>
      <c r="BC343" s="437">
        <f>'[2]PRIH REBALANS'!$AI$865</f>
        <v>368971.98</v>
      </c>
      <c r="BD343" s="437">
        <f t="shared" si="370"/>
        <v>-820000</v>
      </c>
      <c r="BE343">
        <f t="shared" si="367"/>
        <v>11.804389462221527</v>
      </c>
      <c r="BF343" s="437">
        <f t="shared" si="368"/>
        <v>11.804389462221527</v>
      </c>
    </row>
    <row r="344" spans="1:59" ht="39" customHeight="1">
      <c r="A344" s="1572"/>
      <c r="B344" s="1573"/>
      <c r="C344" s="1573"/>
      <c r="D344" s="1574" t="s">
        <v>1575</v>
      </c>
      <c r="E344" s="1673"/>
      <c r="F344" s="1795" t="s">
        <v>195</v>
      </c>
      <c r="G344" s="1835" t="s">
        <v>723</v>
      </c>
      <c r="H344" s="1380">
        <f t="shared" ref="H344:J344" si="371">SUM(H345:H346)</f>
        <v>0</v>
      </c>
      <c r="I344" s="1380">
        <f t="shared" si="371"/>
        <v>855525</v>
      </c>
      <c r="J344" s="1380">
        <f t="shared" si="371"/>
        <v>0</v>
      </c>
      <c r="K344" s="1381">
        <f t="shared" ref="K344" si="372">SUM(K345:K346)</f>
        <v>0</v>
      </c>
      <c r="L344" s="1601">
        <f t="shared" ref="L344" si="373">SUM(L345:L346)</f>
        <v>0</v>
      </c>
      <c r="M344" s="1303">
        <v>1694285</v>
      </c>
      <c r="N344" s="1304">
        <f t="shared" ref="N344" si="374">SUM(N345:N346)</f>
        <v>0</v>
      </c>
      <c r="O344" s="1336">
        <f>O345+O346</f>
        <v>1694285</v>
      </c>
      <c r="P344" s="1601"/>
      <c r="Q344" s="1303">
        <f>SUM(Q345)</f>
        <v>1200000</v>
      </c>
      <c r="R344" s="1304"/>
      <c r="S344" s="1336">
        <f>SUM(S345)</f>
        <v>1200000</v>
      </c>
      <c r="T344" s="1601"/>
      <c r="U344" s="1303">
        <f>SUM(U345)</f>
        <v>820000</v>
      </c>
      <c r="V344" s="1304"/>
      <c r="W344" s="1316">
        <f>SUM(W345)</f>
        <v>820000</v>
      </c>
      <c r="X344" s="1578">
        <f t="shared" si="356"/>
        <v>48.397996795108263</v>
      </c>
      <c r="Y344" s="2457"/>
      <c r="Z344" s="1136"/>
      <c r="AA344" s="1136"/>
      <c r="AB344" s="1293">
        <f t="shared" si="349"/>
        <v>0</v>
      </c>
      <c r="AC344" s="1293">
        <f t="shared" si="354"/>
        <v>0</v>
      </c>
      <c r="AD344" s="1293">
        <f t="shared" si="357"/>
        <v>-874285</v>
      </c>
      <c r="AE344" s="1293">
        <f t="shared" si="350"/>
        <v>0</v>
      </c>
      <c r="AF344" s="1294"/>
      <c r="AG344" s="1294"/>
      <c r="AH344" s="1294">
        <f t="shared" si="355"/>
        <v>0</v>
      </c>
      <c r="AI344" s="1294">
        <f t="shared" si="345"/>
        <v>0</v>
      </c>
      <c r="AJ344" s="1293">
        <f t="shared" si="358"/>
        <v>0</v>
      </c>
      <c r="AK344" s="1294">
        <f t="shared" si="335"/>
        <v>0</v>
      </c>
      <c r="AL344" s="1294">
        <f t="shared" si="366"/>
        <v>0</v>
      </c>
      <c r="AM344" s="1294"/>
      <c r="AN344" s="1294"/>
      <c r="AO344" s="1294"/>
      <c r="AP344" s="1294"/>
      <c r="AQ344" s="1294"/>
      <c r="AR344" s="1294">
        <f t="shared" si="369"/>
        <v>0</v>
      </c>
      <c r="AS344" s="1136"/>
      <c r="AT344" s="668">
        <f t="shared" si="351"/>
        <v>-200000</v>
      </c>
      <c r="AU344" s="463">
        <f>'Sl. za gr. inf GP Pri 6'!H32</f>
        <v>1694285</v>
      </c>
      <c r="AV344" s="468">
        <f t="shared" si="364"/>
        <v>-200000</v>
      </c>
      <c r="AW344" s="468">
        <f t="shared" si="365"/>
        <v>400000</v>
      </c>
      <c r="AX344" s="463"/>
      <c r="AY344" s="463"/>
      <c r="AZ344" s="463"/>
      <c r="BA344" s="463"/>
      <c r="BB344" s="463"/>
      <c r="BC344" s="437">
        <f>'[2]PRIH REBALANS'!$AK$866</f>
        <v>1694285</v>
      </c>
      <c r="BD344" s="437">
        <f t="shared" si="370"/>
        <v>200000</v>
      </c>
      <c r="BE344">
        <f t="shared" si="367"/>
        <v>16.460024772337281</v>
      </c>
      <c r="BF344" s="437">
        <f t="shared" si="368"/>
        <v>-10.612073640154872</v>
      </c>
    </row>
    <row r="345" spans="1:59" ht="39" customHeight="1">
      <c r="A345" s="1572"/>
      <c r="B345" s="1573"/>
      <c r="C345" s="1573"/>
      <c r="D345" s="1574" t="s">
        <v>241</v>
      </c>
      <c r="E345" s="1673"/>
      <c r="F345" s="1810"/>
      <c r="G345" s="1865" t="s">
        <v>481</v>
      </c>
      <c r="H345" s="1380"/>
      <c r="I345" s="1575">
        <v>465060</v>
      </c>
      <c r="J345" s="1575"/>
      <c r="K345" s="1381"/>
      <c r="L345" s="1601"/>
      <c r="M345" s="1301">
        <v>1215065</v>
      </c>
      <c r="N345" s="1302"/>
      <c r="O345" s="1375">
        <f>SUM(L345:N345)</f>
        <v>1215065</v>
      </c>
      <c r="P345" s="1577"/>
      <c r="Q345" s="1301">
        <v>1200000</v>
      </c>
      <c r="R345" s="1302"/>
      <c r="S345" s="1375">
        <f>SUM(P345:R345)</f>
        <v>1200000</v>
      </c>
      <c r="T345" s="1577"/>
      <c r="U345" s="1301">
        <v>820000</v>
      </c>
      <c r="V345" s="1302"/>
      <c r="W345" s="1375">
        <f>SUM(T345:V345)</f>
        <v>820000</v>
      </c>
      <c r="X345" s="1578">
        <f t="shared" si="356"/>
        <v>67.48610156658286</v>
      </c>
      <c r="Y345" s="2457"/>
      <c r="Z345" s="1136"/>
      <c r="AA345" s="1136">
        <f>'[9]PRIH REBALANS'!$AH$853</f>
        <v>820000</v>
      </c>
      <c r="AB345" s="1293">
        <f t="shared" si="349"/>
        <v>0</v>
      </c>
      <c r="AC345" s="1293">
        <f t="shared" si="354"/>
        <v>0</v>
      </c>
      <c r="AD345" s="1293">
        <f t="shared" si="357"/>
        <v>-395065</v>
      </c>
      <c r="AE345" s="1293">
        <f t="shared" si="350"/>
        <v>0</v>
      </c>
      <c r="AF345" s="1294"/>
      <c r="AG345" s="1294"/>
      <c r="AH345" s="1294">
        <f t="shared" si="355"/>
        <v>0</v>
      </c>
      <c r="AI345" s="1294">
        <f t="shared" si="345"/>
        <v>0</v>
      </c>
      <c r="AJ345" s="1293">
        <f t="shared" si="358"/>
        <v>0</v>
      </c>
      <c r="AK345" s="1294">
        <f t="shared" ref="AK345:AK375" si="375">T345+U345+V345-W345</f>
        <v>0</v>
      </c>
      <c r="AL345" s="1294">
        <f t="shared" si="366"/>
        <v>0</v>
      </c>
      <c r="AM345" s="1294"/>
      <c r="AN345" s="1294"/>
      <c r="AO345" s="1294"/>
      <c r="AP345" s="1294"/>
      <c r="AQ345" s="1294"/>
      <c r="AR345" s="1294">
        <f t="shared" si="369"/>
        <v>0</v>
      </c>
      <c r="AS345" s="1136"/>
      <c r="AT345" s="668">
        <f t="shared" si="351"/>
        <v>0</v>
      </c>
      <c r="AU345" s="463"/>
      <c r="AV345" s="468">
        <f t="shared" si="364"/>
        <v>0</v>
      </c>
      <c r="AW345" s="468">
        <f t="shared" si="365"/>
        <v>200000</v>
      </c>
      <c r="AX345" s="272"/>
      <c r="AY345" s="272"/>
      <c r="AZ345" s="272"/>
      <c r="BA345" s="272"/>
      <c r="BB345" s="272"/>
      <c r="BC345" s="437">
        <f>'[2]PRIH REBALANS'!$AH$867</f>
        <v>1215065</v>
      </c>
      <c r="BD345" s="437">
        <f t="shared" si="370"/>
        <v>0</v>
      </c>
      <c r="BE345">
        <f t="shared" si="367"/>
        <v>0</v>
      </c>
      <c r="BF345" s="437">
        <f t="shared" si="368"/>
        <v>-48.304511641387307</v>
      </c>
    </row>
    <row r="346" spans="1:59" ht="39" customHeight="1">
      <c r="A346" s="1572"/>
      <c r="B346" s="1377"/>
      <c r="C346" s="1377"/>
      <c r="D346" s="1574" t="s">
        <v>478</v>
      </c>
      <c r="E346" s="1673"/>
      <c r="F346" s="1809"/>
      <c r="G346" s="1865" t="s">
        <v>1235</v>
      </c>
      <c r="H346" s="1380"/>
      <c r="I346" s="1575">
        <v>390465</v>
      </c>
      <c r="J346" s="1575"/>
      <c r="K346" s="1381"/>
      <c r="L346" s="1601"/>
      <c r="M346" s="1301">
        <v>479220</v>
      </c>
      <c r="N346" s="1302"/>
      <c r="O346" s="1375">
        <f>SUM(L346:N346)</f>
        <v>479220</v>
      </c>
      <c r="P346" s="1601"/>
      <c r="Q346" s="1301"/>
      <c r="R346" s="1302"/>
      <c r="S346" s="1375">
        <f>SUM(P346:R346)</f>
        <v>0</v>
      </c>
      <c r="T346" s="1601"/>
      <c r="U346" s="1301"/>
      <c r="V346" s="1302"/>
      <c r="W346" s="1375">
        <f>SUM(T346:V346)</f>
        <v>0</v>
      </c>
      <c r="X346" s="1578">
        <f t="shared" si="356"/>
        <v>0</v>
      </c>
      <c r="Y346" s="2457"/>
      <c r="Z346" s="1136"/>
      <c r="AA346" s="1136"/>
      <c r="AB346" s="1293">
        <f t="shared" si="349"/>
        <v>0</v>
      </c>
      <c r="AC346" s="1293">
        <f t="shared" si="354"/>
        <v>0</v>
      </c>
      <c r="AD346" s="1293">
        <f t="shared" si="357"/>
        <v>-479220</v>
      </c>
      <c r="AE346" s="1293">
        <f t="shared" si="350"/>
        <v>0</v>
      </c>
      <c r="AF346" s="1294"/>
      <c r="AG346" s="1294"/>
      <c r="AH346" s="1294">
        <f t="shared" si="355"/>
        <v>0</v>
      </c>
      <c r="AI346" s="1294">
        <f t="shared" si="345"/>
        <v>0</v>
      </c>
      <c r="AJ346" s="1293">
        <f t="shared" si="358"/>
        <v>0</v>
      </c>
      <c r="AK346" s="1294">
        <f t="shared" si="375"/>
        <v>0</v>
      </c>
      <c r="AL346" s="1294">
        <f t="shared" si="366"/>
        <v>0</v>
      </c>
      <c r="AM346" s="1294"/>
      <c r="AN346" s="1294"/>
      <c r="AO346" s="1294"/>
      <c r="AP346" s="1294"/>
      <c r="AQ346" s="1294"/>
      <c r="AR346" s="1294">
        <f t="shared" si="369"/>
        <v>0</v>
      </c>
      <c r="AS346" s="1136"/>
      <c r="AT346" s="668">
        <f t="shared" si="351"/>
        <v>200000</v>
      </c>
      <c r="AU346" s="463"/>
      <c r="AV346" s="468">
        <f t="shared" si="364"/>
        <v>200000</v>
      </c>
      <c r="AW346" s="468">
        <f t="shared" si="365"/>
        <v>-200000</v>
      </c>
      <c r="AX346" s="272"/>
      <c r="AY346" s="272"/>
      <c r="AZ346" s="272"/>
      <c r="BA346" s="272"/>
      <c r="BB346" s="272"/>
      <c r="BC346" s="437">
        <f>T348+U348+V348+-W349</f>
        <v>200000</v>
      </c>
      <c r="BD346" s="437">
        <f t="shared" si="370"/>
        <v>-200000</v>
      </c>
      <c r="BE346">
        <f t="shared" si="367"/>
        <v>7.4448270634353415</v>
      </c>
      <c r="BF346" s="437">
        <f t="shared" si="368"/>
        <v>7.4448270634353415</v>
      </c>
    </row>
    <row r="347" spans="1:59" ht="39" customHeight="1">
      <c r="A347" s="1376"/>
      <c r="B347" s="1573"/>
      <c r="C347" s="1573"/>
      <c r="D347" s="1574" t="s">
        <v>1586</v>
      </c>
      <c r="E347" s="1673"/>
      <c r="F347" s="1795" t="s">
        <v>195</v>
      </c>
      <c r="G347" s="1835" t="s">
        <v>724</v>
      </c>
      <c r="H347" s="1380">
        <f>SUM(H348:H349)</f>
        <v>0</v>
      </c>
      <c r="I347" s="1380">
        <f>SUM(I348:I349)</f>
        <v>207040</v>
      </c>
      <c r="J347" s="1380">
        <f>SUM(J348:J349)</f>
        <v>0</v>
      </c>
      <c r="K347" s="1381">
        <f>SUM(K348:K349)</f>
        <v>0</v>
      </c>
      <c r="L347" s="1601">
        <f>SUM(L348:L349)</f>
        <v>0</v>
      </c>
      <c r="M347" s="1303">
        <v>738768</v>
      </c>
      <c r="N347" s="1304">
        <f>SUM(N348:N349)</f>
        <v>0</v>
      </c>
      <c r="O347" s="1336">
        <f t="shared" ref="O347" si="376">M347</f>
        <v>738768</v>
      </c>
      <c r="P347" s="1601"/>
      <c r="Q347" s="1303">
        <f>SUM(Q348)</f>
        <v>104000</v>
      </c>
      <c r="R347" s="1304"/>
      <c r="S347" s="1336">
        <f>SUM(S348)</f>
        <v>104000</v>
      </c>
      <c r="T347" s="1601"/>
      <c r="U347" s="1303">
        <f>SUM(U348)</f>
        <v>200000</v>
      </c>
      <c r="V347" s="1304"/>
      <c r="W347" s="1316">
        <f>SUM(W348)</f>
        <v>200000</v>
      </c>
      <c r="X347" s="1578">
        <f t="shared" si="356"/>
        <v>27.072098412492153</v>
      </c>
      <c r="Y347" s="2457"/>
      <c r="Z347" s="1136"/>
      <c r="AA347" s="1136"/>
      <c r="AB347" s="1293">
        <f t="shared" si="349"/>
        <v>0</v>
      </c>
      <c r="AC347" s="1293">
        <f t="shared" si="354"/>
        <v>0</v>
      </c>
      <c r="AD347" s="1293">
        <f t="shared" si="357"/>
        <v>-538768</v>
      </c>
      <c r="AE347" s="1293">
        <f t="shared" si="350"/>
        <v>0</v>
      </c>
      <c r="AF347" s="1294"/>
      <c r="AG347" s="1294"/>
      <c r="AH347" s="1294">
        <f t="shared" si="355"/>
        <v>0</v>
      </c>
      <c r="AI347" s="1294">
        <f t="shared" si="345"/>
        <v>0</v>
      </c>
      <c r="AJ347" s="1293">
        <f t="shared" si="358"/>
        <v>0</v>
      </c>
      <c r="AK347" s="1294">
        <f t="shared" si="375"/>
        <v>0</v>
      </c>
      <c r="AL347" s="1294">
        <f t="shared" si="366"/>
        <v>0</v>
      </c>
      <c r="AM347" s="1294"/>
      <c r="AN347" s="1294"/>
      <c r="AO347" s="1294"/>
      <c r="AP347" s="1294"/>
      <c r="AQ347" s="1294"/>
      <c r="AR347" s="1294">
        <f t="shared" si="369"/>
        <v>0</v>
      </c>
      <c r="AS347" s="1136"/>
      <c r="AT347" s="668">
        <f t="shared" si="351"/>
        <v>-55000</v>
      </c>
      <c r="AU347" s="463">
        <f>'Sl. za gr. inf GP Pri 6'!H52</f>
        <v>738767.54</v>
      </c>
      <c r="AV347" s="468">
        <f t="shared" si="364"/>
        <v>-55000</v>
      </c>
      <c r="AW347" s="468">
        <f t="shared" si="365"/>
        <v>110000</v>
      </c>
      <c r="AX347" s="463"/>
      <c r="AY347" s="463"/>
      <c r="AZ347" s="463"/>
      <c r="BA347" s="463"/>
      <c r="BB347" s="463"/>
      <c r="BC347" s="437">
        <f>'[2]PRIH REBALANS'!$AK$869</f>
        <v>738768.35</v>
      </c>
      <c r="BD347" s="437">
        <f t="shared" si="370"/>
        <v>55000</v>
      </c>
      <c r="BE347">
        <f t="shared" si="367"/>
        <v>13.283740701381507</v>
      </c>
      <c r="BF347" s="437">
        <f t="shared" si="368"/>
        <v>-2.0249095210114287</v>
      </c>
    </row>
    <row r="348" spans="1:59" ht="39" customHeight="1">
      <c r="A348" s="1572"/>
      <c r="B348" s="1573"/>
      <c r="C348" s="1573"/>
      <c r="D348" s="1574" t="s">
        <v>1587</v>
      </c>
      <c r="E348" s="1673"/>
      <c r="F348" s="1809"/>
      <c r="G348" s="1865" t="s">
        <v>482</v>
      </c>
      <c r="H348" s="1380"/>
      <c r="I348" s="1575">
        <v>207040</v>
      </c>
      <c r="J348" s="1575"/>
      <c r="K348" s="1381"/>
      <c r="L348" s="1601"/>
      <c r="M348" s="1301">
        <v>414040</v>
      </c>
      <c r="N348" s="1302"/>
      <c r="O348" s="1375">
        <f>SUM(L348:N348)</f>
        <v>414040</v>
      </c>
      <c r="P348" s="1577"/>
      <c r="Q348" s="1301">
        <v>104000</v>
      </c>
      <c r="R348" s="1302"/>
      <c r="S348" s="1375">
        <f>SUM(P348:R348)</f>
        <v>104000</v>
      </c>
      <c r="T348" s="1577"/>
      <c r="U348" s="1301">
        <v>200000</v>
      </c>
      <c r="V348" s="1302"/>
      <c r="W348" s="1375">
        <f>SUM(T348:V348)</f>
        <v>200000</v>
      </c>
      <c r="X348" s="1578">
        <f t="shared" si="356"/>
        <v>48.304511641387307</v>
      </c>
      <c r="Y348" s="2457"/>
      <c r="Z348" s="1136"/>
      <c r="AA348" s="1136">
        <f>'[9]PRIH REBALANS'!$AH$855</f>
        <v>200000</v>
      </c>
      <c r="AB348" s="1293">
        <f t="shared" si="349"/>
        <v>0</v>
      </c>
      <c r="AC348" s="1293">
        <f t="shared" si="354"/>
        <v>0</v>
      </c>
      <c r="AD348" s="1293">
        <f t="shared" si="357"/>
        <v>-214040</v>
      </c>
      <c r="AE348" s="1293">
        <f t="shared" si="350"/>
        <v>0</v>
      </c>
      <c r="AF348" s="1294"/>
      <c r="AG348" s="1294"/>
      <c r="AH348" s="1294">
        <f t="shared" si="355"/>
        <v>0</v>
      </c>
      <c r="AI348" s="1294">
        <f t="shared" si="345"/>
        <v>0</v>
      </c>
      <c r="AJ348" s="1293">
        <f t="shared" si="358"/>
        <v>0</v>
      </c>
      <c r="AK348" s="1294">
        <f t="shared" si="375"/>
        <v>0</v>
      </c>
      <c r="AL348" s="1294">
        <f t="shared" si="366"/>
        <v>0</v>
      </c>
      <c r="AM348" s="1294"/>
      <c r="AN348" s="1294"/>
      <c r="AO348" s="1294"/>
      <c r="AP348" s="1294"/>
      <c r="AQ348" s="1294"/>
      <c r="AR348" s="1294">
        <f t="shared" si="369"/>
        <v>0</v>
      </c>
      <c r="AS348" s="1136"/>
      <c r="AT348" s="668">
        <f t="shared" si="351"/>
        <v>0</v>
      </c>
      <c r="AU348" s="463"/>
      <c r="AV348" s="468">
        <f t="shared" si="364"/>
        <v>0</v>
      </c>
      <c r="AW348" s="468">
        <f t="shared" si="365"/>
        <v>55000</v>
      </c>
      <c r="AX348" s="272"/>
      <c r="AY348" s="272"/>
      <c r="AZ348" s="272"/>
      <c r="BA348" s="272"/>
      <c r="BB348" s="272"/>
      <c r="BC348" s="437">
        <f>T350+U350+V350+-W351</f>
        <v>0</v>
      </c>
      <c r="BD348" s="437">
        <f t="shared" si="370"/>
        <v>0</v>
      </c>
      <c r="BE348">
        <f>W353/O349*100</f>
        <v>0</v>
      </c>
      <c r="BF348" s="437">
        <f t="shared" si="368"/>
        <v>-28.49371843025515</v>
      </c>
    </row>
    <row r="349" spans="1:59" ht="39" customHeight="1">
      <c r="A349" s="1572"/>
      <c r="B349" s="1377"/>
      <c r="C349" s="1377"/>
      <c r="D349" s="1574" t="s">
        <v>1588</v>
      </c>
      <c r="E349" s="1673"/>
      <c r="F349" s="1809"/>
      <c r="G349" s="1865" t="s">
        <v>1234</v>
      </c>
      <c r="H349" s="1380"/>
      <c r="I349" s="1575"/>
      <c r="J349" s="1575"/>
      <c r="K349" s="1381"/>
      <c r="L349" s="1601"/>
      <c r="M349" s="1301">
        <v>324728</v>
      </c>
      <c r="N349" s="1302"/>
      <c r="O349" s="1375">
        <f>SUM(L349:N349)</f>
        <v>324728</v>
      </c>
      <c r="P349" s="1601"/>
      <c r="Q349" s="1301"/>
      <c r="R349" s="1302"/>
      <c r="S349" s="1375">
        <f>SUM(P349:R349)</f>
        <v>0</v>
      </c>
      <c r="T349" s="1601"/>
      <c r="U349" s="1301"/>
      <c r="V349" s="1302"/>
      <c r="W349" s="1375">
        <f>SUM(T349:V349)</f>
        <v>0</v>
      </c>
      <c r="X349" s="1578">
        <f t="shared" si="356"/>
        <v>0</v>
      </c>
      <c r="Y349" s="2457"/>
      <c r="Z349" s="1136"/>
      <c r="AA349" s="1136"/>
      <c r="AB349" s="1293">
        <f t="shared" si="349"/>
        <v>0</v>
      </c>
      <c r="AC349" s="1293">
        <f t="shared" si="354"/>
        <v>0</v>
      </c>
      <c r="AD349" s="1293">
        <f t="shared" si="357"/>
        <v>-324728</v>
      </c>
      <c r="AE349" s="1293">
        <f t="shared" si="350"/>
        <v>0</v>
      </c>
      <c r="AF349" s="1294"/>
      <c r="AG349" s="1294"/>
      <c r="AH349" s="1294">
        <f t="shared" si="355"/>
        <v>0</v>
      </c>
      <c r="AI349" s="1294">
        <f t="shared" si="345"/>
        <v>0</v>
      </c>
      <c r="AJ349" s="1293">
        <f t="shared" si="358"/>
        <v>0</v>
      </c>
      <c r="AK349" s="1294">
        <f t="shared" si="375"/>
        <v>0</v>
      </c>
      <c r="AL349" s="1294">
        <f t="shared" si="366"/>
        <v>0</v>
      </c>
      <c r="AM349" s="1294"/>
      <c r="AN349" s="1294"/>
      <c r="AO349" s="1294"/>
      <c r="AP349" s="1294"/>
      <c r="AQ349" s="1294"/>
      <c r="AR349" s="1294">
        <f t="shared" si="369"/>
        <v>0</v>
      </c>
      <c r="AS349" s="1136"/>
      <c r="AT349" s="668">
        <f>T351+U351+V351-W353</f>
        <v>55000</v>
      </c>
      <c r="AU349" s="463"/>
      <c r="AV349" s="468">
        <f>T351+U351+V351-W353</f>
        <v>55000</v>
      </c>
      <c r="AW349" s="468">
        <f>W353-AV349</f>
        <v>-55000</v>
      </c>
      <c r="AX349" s="272"/>
      <c r="AY349" s="272"/>
      <c r="AZ349" s="272"/>
      <c r="BA349" s="272"/>
      <c r="BB349" s="272"/>
      <c r="BC349" s="437">
        <f>T351+U351+V351+-W353</f>
        <v>55000</v>
      </c>
      <c r="BD349" s="437">
        <f>W353-U351</f>
        <v>-55000</v>
      </c>
      <c r="BE349">
        <f>W354/O350*100</f>
        <v>334.00691394311866</v>
      </c>
      <c r="BF349" s="437">
        <f>BE349-X353</f>
        <v>334.00691394311866</v>
      </c>
    </row>
    <row r="350" spans="1:59" ht="39" customHeight="1">
      <c r="A350" s="1376"/>
      <c r="B350" s="1573"/>
      <c r="C350" s="1573"/>
      <c r="D350" s="1574" t="s">
        <v>1589</v>
      </c>
      <c r="E350" s="1673"/>
      <c r="F350" s="1795" t="s">
        <v>195</v>
      </c>
      <c r="G350" s="1835" t="s">
        <v>725</v>
      </c>
      <c r="H350" s="1380">
        <f t="shared" ref="H350:N350" si="377">SUM(H351:H353)</f>
        <v>0</v>
      </c>
      <c r="I350" s="1380">
        <f t="shared" si="377"/>
        <v>246230</v>
      </c>
      <c r="J350" s="1380">
        <f t="shared" si="377"/>
        <v>0</v>
      </c>
      <c r="K350" s="1381">
        <f t="shared" si="377"/>
        <v>0</v>
      </c>
      <c r="L350" s="1601">
        <f t="shared" si="377"/>
        <v>0</v>
      </c>
      <c r="M350" s="1303">
        <f t="shared" si="377"/>
        <v>359274</v>
      </c>
      <c r="N350" s="1304">
        <f t="shared" si="377"/>
        <v>0</v>
      </c>
      <c r="O350" s="1336">
        <f>O351+O352+O353</f>
        <v>359274</v>
      </c>
      <c r="P350" s="1601"/>
      <c r="Q350" s="1303">
        <f>SUM(Q351)</f>
        <v>55000</v>
      </c>
      <c r="R350" s="1304"/>
      <c r="S350" s="1336">
        <f>SUM(S351:S353)</f>
        <v>55000</v>
      </c>
      <c r="T350" s="1601"/>
      <c r="U350" s="1303">
        <f>SUM(U351)</f>
        <v>55000</v>
      </c>
      <c r="V350" s="1304"/>
      <c r="W350" s="1316">
        <f>SUM(W351)</f>
        <v>55000</v>
      </c>
      <c r="X350" s="1578">
        <f t="shared" si="356"/>
        <v>15.308650222392936</v>
      </c>
      <c r="Y350" s="2457"/>
      <c r="Z350" s="1136"/>
      <c r="AA350" s="1136"/>
      <c r="AB350" s="1293">
        <f t="shared" si="349"/>
        <v>0</v>
      </c>
      <c r="AC350" s="1293">
        <f t="shared" si="354"/>
        <v>0</v>
      </c>
      <c r="AD350" s="1293">
        <f t="shared" si="357"/>
        <v>-304274</v>
      </c>
      <c r="AE350" s="1293">
        <f t="shared" si="350"/>
        <v>0</v>
      </c>
      <c r="AF350" s="1294"/>
      <c r="AG350" s="1294"/>
      <c r="AH350" s="1294">
        <f t="shared" si="355"/>
        <v>0</v>
      </c>
      <c r="AI350" s="1294">
        <f t="shared" si="345"/>
        <v>0</v>
      </c>
      <c r="AJ350" s="1293">
        <f t="shared" si="358"/>
        <v>0</v>
      </c>
      <c r="AK350" s="1294">
        <f t="shared" si="375"/>
        <v>0</v>
      </c>
      <c r="AL350" s="1294">
        <f t="shared" si="366"/>
        <v>0</v>
      </c>
      <c r="AM350" s="1294"/>
      <c r="AN350" s="1294"/>
      <c r="AO350" s="1294"/>
      <c r="AP350" s="1294"/>
      <c r="AQ350" s="1294"/>
      <c r="AR350" s="1294">
        <f t="shared" si="369"/>
        <v>0</v>
      </c>
      <c r="AS350" s="1136"/>
      <c r="AT350" s="668">
        <f>T353+U353+V353-W354</f>
        <v>-1200000</v>
      </c>
      <c r="AU350" s="463">
        <f>'Sl. za gr. inf GP Pri 6'!H79</f>
        <v>339274</v>
      </c>
      <c r="AV350" s="468">
        <f>T353+U353+V353-W354</f>
        <v>-1200000</v>
      </c>
      <c r="AW350" s="468">
        <f>W354-AV350</f>
        <v>2400000</v>
      </c>
      <c r="AX350" s="463"/>
      <c r="AY350" s="463"/>
      <c r="AZ350" s="463"/>
      <c r="BA350" s="463"/>
      <c r="BB350" s="463"/>
      <c r="BC350" s="437">
        <f>'[2]PRIH REBALANS'!$AK$873</f>
        <v>359274.48</v>
      </c>
      <c r="BD350" s="437">
        <f>W354-U353</f>
        <v>1200000</v>
      </c>
      <c r="BE350">
        <f>W355/O351*100</f>
        <v>621.681129387385</v>
      </c>
      <c r="BF350" s="437">
        <f>BE350-X354</f>
        <v>573.67337133368346</v>
      </c>
    </row>
    <row r="351" spans="1:59" ht="39" customHeight="1">
      <c r="A351" s="1572"/>
      <c r="B351" s="1573"/>
      <c r="C351" s="1573"/>
      <c r="D351" s="1574" t="s">
        <v>1590</v>
      </c>
      <c r="E351" s="1673"/>
      <c r="F351" s="1809"/>
      <c r="G351" s="1865" t="s">
        <v>483</v>
      </c>
      <c r="H351" s="1575"/>
      <c r="I351" s="1575">
        <v>151012</v>
      </c>
      <c r="J351" s="1575"/>
      <c r="K351" s="1374"/>
      <c r="L351" s="1577"/>
      <c r="M351" s="1301">
        <v>193025</v>
      </c>
      <c r="N351" s="1302"/>
      <c r="O351" s="1375">
        <f>SUM(L351:N351)</f>
        <v>193025</v>
      </c>
      <c r="P351" s="1577"/>
      <c r="Q351" s="1301">
        <v>55000</v>
      </c>
      <c r="R351" s="1302"/>
      <c r="S351" s="1375">
        <f>SUM(P351:R351)</f>
        <v>55000</v>
      </c>
      <c r="T351" s="1577"/>
      <c r="U351" s="1301">
        <v>55000</v>
      </c>
      <c r="V351" s="1302"/>
      <c r="W351" s="1375">
        <f>SUM(T351:V351)</f>
        <v>55000</v>
      </c>
      <c r="X351" s="1578">
        <f t="shared" si="356"/>
        <v>28.49371843025515</v>
      </c>
      <c r="Y351" s="2457"/>
      <c r="Z351" s="1136"/>
      <c r="AA351" s="1136">
        <f>'[9]PRIH REBALANS'!$AH$860</f>
        <v>55000</v>
      </c>
      <c r="AB351" s="1293">
        <f t="shared" si="349"/>
        <v>0</v>
      </c>
      <c r="AC351" s="1293">
        <f t="shared" si="354"/>
        <v>0</v>
      </c>
      <c r="AD351" s="1293">
        <f t="shared" si="357"/>
        <v>-138025</v>
      </c>
      <c r="AE351" s="1293">
        <f t="shared" si="350"/>
        <v>0</v>
      </c>
      <c r="AF351" s="1294"/>
      <c r="AG351" s="1294"/>
      <c r="AH351" s="1294">
        <f t="shared" si="355"/>
        <v>0</v>
      </c>
      <c r="AI351" s="1294">
        <f t="shared" si="345"/>
        <v>0</v>
      </c>
      <c r="AJ351" s="1293">
        <f t="shared" si="358"/>
        <v>0</v>
      </c>
      <c r="AK351" s="1294">
        <f t="shared" si="375"/>
        <v>0</v>
      </c>
      <c r="AL351" s="1294">
        <f t="shared" si="366"/>
        <v>0</v>
      </c>
      <c r="AM351" s="1294"/>
      <c r="AN351" s="1294"/>
      <c r="AO351" s="1294"/>
      <c r="AP351" s="1294"/>
      <c r="AQ351" s="1294"/>
      <c r="AR351" s="1294">
        <f t="shared" si="369"/>
        <v>0</v>
      </c>
      <c r="AS351" s="1136"/>
      <c r="AT351" s="668">
        <f>T354+U354+V354-W355</f>
        <v>0</v>
      </c>
      <c r="AU351" s="463"/>
      <c r="AV351" s="468">
        <f>T354+U354+V354-W355</f>
        <v>0</v>
      </c>
      <c r="AW351" s="468">
        <f>W355-AV351</f>
        <v>1200000</v>
      </c>
      <c r="AX351" s="272"/>
      <c r="AY351" s="272"/>
      <c r="AZ351" s="272"/>
      <c r="BA351" s="272"/>
      <c r="BB351" s="272"/>
      <c r="BC351" s="437">
        <f>'[2]PRIH REBALANS'!$AH$874</f>
        <v>193025</v>
      </c>
      <c r="BD351" s="437">
        <f>W355-U354</f>
        <v>0</v>
      </c>
      <c r="BF351" s="437"/>
    </row>
    <row r="352" spans="1:59" ht="39" customHeight="1">
      <c r="A352" s="1572"/>
      <c r="B352" s="1573"/>
      <c r="C352" s="1573"/>
      <c r="D352" s="1574" t="s">
        <v>1591</v>
      </c>
      <c r="E352" s="1673"/>
      <c r="F352" s="1809" t="s">
        <v>188</v>
      </c>
      <c r="G352" s="1865" t="s">
        <v>1470</v>
      </c>
      <c r="H352" s="1575"/>
      <c r="I352" s="1575"/>
      <c r="J352" s="1575"/>
      <c r="K352" s="1374"/>
      <c r="L352" s="1577"/>
      <c r="M352" s="1301">
        <v>20000</v>
      </c>
      <c r="N352" s="1302"/>
      <c r="O352" s="1375">
        <f t="shared" ref="O352:O353" si="378">SUM(L352:N352)</f>
        <v>20000</v>
      </c>
      <c r="P352" s="1577"/>
      <c r="Q352" s="1301"/>
      <c r="R352" s="1302"/>
      <c r="S352" s="1375"/>
      <c r="T352" s="1577"/>
      <c r="U352" s="1301"/>
      <c r="V352" s="1302"/>
      <c r="W352" s="1375"/>
      <c r="X352" s="1578">
        <f t="shared" si="356"/>
        <v>0</v>
      </c>
      <c r="Y352" s="2457"/>
      <c r="Z352" s="1136"/>
      <c r="AA352" s="1136"/>
      <c r="AB352" s="1293">
        <f t="shared" si="349"/>
        <v>0</v>
      </c>
      <c r="AC352" s="1293">
        <f t="shared" si="354"/>
        <v>0</v>
      </c>
      <c r="AD352" s="1293">
        <f t="shared" si="357"/>
        <v>-20000</v>
      </c>
      <c r="AE352" s="1293">
        <f t="shared" si="350"/>
        <v>0</v>
      </c>
      <c r="AF352" s="1294"/>
      <c r="AG352" s="1294"/>
      <c r="AH352" s="1294">
        <f t="shared" si="355"/>
        <v>0</v>
      </c>
      <c r="AI352" s="1294">
        <f t="shared" ref="AI352:AI375" si="379">T352+U352+V352-W352</f>
        <v>0</v>
      </c>
      <c r="AJ352" s="1293">
        <f t="shared" si="358"/>
        <v>0</v>
      </c>
      <c r="AK352" s="1294">
        <f t="shared" si="375"/>
        <v>0</v>
      </c>
      <c r="AL352" s="1294">
        <f t="shared" si="366"/>
        <v>0</v>
      </c>
      <c r="AM352" s="1294"/>
      <c r="AN352" s="1294"/>
      <c r="AO352" s="1294"/>
      <c r="AP352" s="1294"/>
      <c r="AQ352" s="1294"/>
      <c r="AR352" s="1294">
        <f>T353+U353+V353-W353</f>
        <v>0</v>
      </c>
      <c r="AS352" s="1136"/>
      <c r="AT352" s="668">
        <f>T355+U355+V355-W357</f>
        <v>1200000</v>
      </c>
      <c r="AU352" s="463"/>
      <c r="AV352" s="468">
        <f>T355+U355+V355-W357</f>
        <v>1200000</v>
      </c>
      <c r="AW352" s="468">
        <f t="shared" ref="AW352:AW365" si="380">W357-AV352</f>
        <v>-1200000</v>
      </c>
      <c r="AX352" s="272"/>
      <c r="AY352" s="272"/>
      <c r="AZ352" s="272"/>
      <c r="BA352" s="272"/>
      <c r="BB352" s="272"/>
      <c r="BC352" s="437">
        <f>U357-20000</f>
        <v>-20000</v>
      </c>
      <c r="BD352" s="437">
        <f>W357-U355</f>
        <v>-1200000</v>
      </c>
      <c r="BE352">
        <f>W358/O353*100</f>
        <v>389.74625467524567</v>
      </c>
      <c r="BF352" s="437">
        <f>BE352-X357</f>
        <v>389.74625467524567</v>
      </c>
    </row>
    <row r="353" spans="1:58" ht="39" customHeight="1">
      <c r="A353" s="1572"/>
      <c r="B353" s="1377"/>
      <c r="C353" s="1377"/>
      <c r="D353" s="1574" t="s">
        <v>1592</v>
      </c>
      <c r="E353" s="1673"/>
      <c r="F353" s="1809"/>
      <c r="G353" s="1865" t="s">
        <v>484</v>
      </c>
      <c r="H353" s="1575"/>
      <c r="I353" s="1575">
        <v>95218</v>
      </c>
      <c r="J353" s="1575"/>
      <c r="K353" s="1374"/>
      <c r="L353" s="1577"/>
      <c r="M353" s="1301">
        <v>146249</v>
      </c>
      <c r="N353" s="1302"/>
      <c r="O353" s="1375">
        <f t="shared" si="378"/>
        <v>146249</v>
      </c>
      <c r="P353" s="1601"/>
      <c r="Q353" s="1301"/>
      <c r="R353" s="1302"/>
      <c r="S353" s="1375">
        <f>SUM(P352:R352)</f>
        <v>0</v>
      </c>
      <c r="T353" s="1577"/>
      <c r="U353" s="1301"/>
      <c r="V353" s="1302"/>
      <c r="W353" s="1375">
        <f>SUM(T353:V353)</f>
        <v>0</v>
      </c>
      <c r="X353" s="1578">
        <f t="shared" si="356"/>
        <v>0</v>
      </c>
      <c r="Y353" s="2457"/>
      <c r="Z353" s="1136"/>
      <c r="AA353" s="1136"/>
      <c r="AB353" s="1293">
        <f t="shared" si="349"/>
        <v>0</v>
      </c>
      <c r="AC353" s="1293">
        <f t="shared" si="354"/>
        <v>0</v>
      </c>
      <c r="AD353" s="1293">
        <f t="shared" si="357"/>
        <v>-146249</v>
      </c>
      <c r="AE353" s="1293">
        <f t="shared" si="350"/>
        <v>0</v>
      </c>
      <c r="AF353" s="1294"/>
      <c r="AG353" s="1294"/>
      <c r="AH353" s="1294">
        <f t="shared" si="355"/>
        <v>0</v>
      </c>
      <c r="AI353" s="1294">
        <f t="shared" si="379"/>
        <v>0</v>
      </c>
      <c r="AJ353" s="1293">
        <f t="shared" si="358"/>
        <v>0</v>
      </c>
      <c r="AK353" s="1294">
        <f t="shared" si="375"/>
        <v>0</v>
      </c>
      <c r="AL353" s="1294">
        <f t="shared" si="366"/>
        <v>0</v>
      </c>
      <c r="AM353" s="1294"/>
      <c r="AN353" s="1294"/>
      <c r="AO353" s="1294"/>
      <c r="AP353" s="1294"/>
      <c r="AQ353" s="1294"/>
      <c r="AR353" s="1294">
        <f>T354+U354+V354-W354</f>
        <v>0</v>
      </c>
      <c r="AS353" s="1136"/>
      <c r="AT353" s="668">
        <f t="shared" ref="AT353:AT369" si="381">T357+U357+V357-W358</f>
        <v>-570000</v>
      </c>
      <c r="AU353" s="463"/>
      <c r="AV353" s="468">
        <f t="shared" ref="AV353:AV369" si="382">T357+U357+V357-W358</f>
        <v>-570000</v>
      </c>
      <c r="AW353" s="468">
        <f t="shared" si="380"/>
        <v>1140000</v>
      </c>
      <c r="AX353" s="272"/>
      <c r="AY353" s="272"/>
      <c r="AZ353" s="272"/>
      <c r="BA353" s="272"/>
      <c r="BB353" s="272"/>
      <c r="BC353" s="437">
        <f>T357+U357+V357+-W358</f>
        <v>-570000</v>
      </c>
      <c r="BD353" s="437">
        <f t="shared" ref="BD353:BD365" si="383">W358-U357</f>
        <v>570000</v>
      </c>
      <c r="BE353">
        <f>W359/O354*100</f>
        <v>22.803685075508202</v>
      </c>
      <c r="BF353" s="437">
        <f>BE353-X358</f>
        <v>-0.94961069427985478</v>
      </c>
    </row>
    <row r="354" spans="1:58" ht="39" customHeight="1">
      <c r="A354" s="1376"/>
      <c r="B354" s="1573"/>
      <c r="C354" s="1573"/>
      <c r="D354" s="1574" t="s">
        <v>1593</v>
      </c>
      <c r="E354" s="1673"/>
      <c r="F354" s="1795" t="s">
        <v>195</v>
      </c>
      <c r="G354" s="1867" t="s">
        <v>726</v>
      </c>
      <c r="H354" s="1380">
        <f>SUM(H355:H357,)</f>
        <v>0</v>
      </c>
      <c r="I354" s="1380">
        <f>SUM(I355:I357,)</f>
        <v>1201736</v>
      </c>
      <c r="J354" s="1380">
        <f>SUM(J355:J357,)</f>
        <v>0</v>
      </c>
      <c r="K354" s="1381">
        <f>SUM(K355:K357,)</f>
        <v>0</v>
      </c>
      <c r="L354" s="1601">
        <f>SUM(L355:L357,)</f>
        <v>0</v>
      </c>
      <c r="M354" s="1303">
        <f t="shared" ref="M354:N354" si="384">SUM(M355:M357,)</f>
        <v>2499596</v>
      </c>
      <c r="N354" s="1304">
        <f t="shared" si="384"/>
        <v>0</v>
      </c>
      <c r="O354" s="1336">
        <f>O355+O356+O357</f>
        <v>2499596</v>
      </c>
      <c r="P354" s="1577"/>
      <c r="Q354" s="1303">
        <f>SUM(Q355)</f>
        <v>610000</v>
      </c>
      <c r="R354" s="1304"/>
      <c r="S354" s="1336">
        <f>SUM(S355)</f>
        <v>610000</v>
      </c>
      <c r="T354" s="1601"/>
      <c r="U354" s="1303">
        <f>SUM(U355,U356)</f>
        <v>1200000</v>
      </c>
      <c r="V354" s="1304"/>
      <c r="W354" s="1316">
        <f>SUM(W355,W356)</f>
        <v>1200000</v>
      </c>
      <c r="X354" s="1578">
        <f t="shared" si="356"/>
        <v>48.00775805370148</v>
      </c>
      <c r="Y354" s="2457"/>
      <c r="Z354" s="1136"/>
      <c r="AA354" s="1136"/>
      <c r="AB354" s="1293">
        <f t="shared" si="349"/>
        <v>0</v>
      </c>
      <c r="AC354" s="1293">
        <f t="shared" si="354"/>
        <v>0</v>
      </c>
      <c r="AD354" s="1293">
        <f t="shared" si="357"/>
        <v>-1299596</v>
      </c>
      <c r="AE354" s="1293">
        <f t="shared" si="350"/>
        <v>0</v>
      </c>
      <c r="AF354" s="1294"/>
      <c r="AG354" s="1294"/>
      <c r="AH354" s="1294">
        <f t="shared" si="355"/>
        <v>0</v>
      </c>
      <c r="AI354" s="1294">
        <f t="shared" si="379"/>
        <v>0</v>
      </c>
      <c r="AJ354" s="1293">
        <f t="shared" si="358"/>
        <v>0</v>
      </c>
      <c r="AK354" s="1294">
        <f t="shared" si="375"/>
        <v>0</v>
      </c>
      <c r="AL354" s="1294">
        <f t="shared" si="366"/>
        <v>0</v>
      </c>
      <c r="AM354" s="1294"/>
      <c r="AN354" s="1294"/>
      <c r="AO354" s="1294"/>
      <c r="AP354" s="1294"/>
      <c r="AQ354" s="1294"/>
      <c r="AR354" s="1294">
        <f>T355+U355+V355-W355</f>
        <v>0</v>
      </c>
      <c r="AS354" s="1136"/>
      <c r="AT354" s="668">
        <f t="shared" si="381"/>
        <v>0</v>
      </c>
      <c r="AU354" s="463"/>
      <c r="AV354" s="468">
        <f t="shared" si="382"/>
        <v>0</v>
      </c>
      <c r="AW354" s="468">
        <f t="shared" si="380"/>
        <v>570000</v>
      </c>
      <c r="AX354" s="463"/>
      <c r="AY354" s="463"/>
      <c r="AZ354" s="463"/>
      <c r="BA354" s="463"/>
      <c r="BB354" s="463"/>
      <c r="BC354" s="437"/>
      <c r="BD354" s="437">
        <f t="shared" si="383"/>
        <v>0</v>
      </c>
      <c r="BE354">
        <f>W360/O355*100</f>
        <v>0</v>
      </c>
      <c r="BF354" s="437">
        <f>BE354-X359</f>
        <v>-70.352999259442115</v>
      </c>
    </row>
    <row r="355" spans="1:58" ht="39" customHeight="1">
      <c r="A355" s="1572"/>
      <c r="B355" s="1573"/>
      <c r="C355" s="1573"/>
      <c r="D355" s="1574" t="s">
        <v>1594</v>
      </c>
      <c r="E355" s="1673"/>
      <c r="F355" s="1809"/>
      <c r="G355" s="1868" t="s">
        <v>485</v>
      </c>
      <c r="H355" s="1575"/>
      <c r="I355" s="1575">
        <v>765060</v>
      </c>
      <c r="J355" s="1575"/>
      <c r="K355" s="1374"/>
      <c r="L355" s="1577"/>
      <c r="M355" s="1301">
        <v>1285113</v>
      </c>
      <c r="N355" s="1302"/>
      <c r="O355" s="1375">
        <f>SUM(L355:N355)</f>
        <v>1285113</v>
      </c>
      <c r="P355" s="1577"/>
      <c r="Q355" s="1301">
        <v>610000</v>
      </c>
      <c r="R355" s="1302"/>
      <c r="S355" s="1375">
        <f>SUM(P354:R354)</f>
        <v>610000</v>
      </c>
      <c r="T355" s="1577"/>
      <c r="U355" s="1301">
        <v>1200000</v>
      </c>
      <c r="V355" s="1302"/>
      <c r="W355" s="1375">
        <f>SUM(T355:V355)</f>
        <v>1200000</v>
      </c>
      <c r="X355" s="1578">
        <f t="shared" si="356"/>
        <v>93.377002644903598</v>
      </c>
      <c r="Y355" s="2457"/>
      <c r="Z355" s="1136"/>
      <c r="AA355" s="1136"/>
      <c r="AB355" s="1293">
        <f t="shared" si="349"/>
        <v>0</v>
      </c>
      <c r="AC355" s="1293">
        <f t="shared" si="354"/>
        <v>0</v>
      </c>
      <c r="AD355" s="1293">
        <f t="shared" si="357"/>
        <v>-85113</v>
      </c>
      <c r="AE355" s="1293">
        <f t="shared" si="350"/>
        <v>0</v>
      </c>
      <c r="AF355" s="1294"/>
      <c r="AG355" s="1294"/>
      <c r="AH355" s="1294">
        <f t="shared" si="355"/>
        <v>0</v>
      </c>
      <c r="AI355" s="1294">
        <f t="shared" si="379"/>
        <v>0</v>
      </c>
      <c r="AJ355" s="1293">
        <f t="shared" si="358"/>
        <v>0</v>
      </c>
      <c r="AK355" s="1294">
        <f t="shared" si="375"/>
        <v>0</v>
      </c>
      <c r="AL355" s="1294">
        <f t="shared" si="366"/>
        <v>0</v>
      </c>
      <c r="AM355" s="1294"/>
      <c r="AN355" s="1294"/>
      <c r="AO355" s="1294"/>
      <c r="AP355" s="1294"/>
      <c r="AQ355" s="1294"/>
      <c r="AR355" s="1294">
        <f t="shared" ref="AR355:AR373" si="385">T357+U357+V357-W357</f>
        <v>0</v>
      </c>
      <c r="AS355" s="1136"/>
      <c r="AT355" s="668">
        <f t="shared" si="381"/>
        <v>570000</v>
      </c>
      <c r="AU355" s="463"/>
      <c r="AV355" s="468">
        <f t="shared" si="382"/>
        <v>570000</v>
      </c>
      <c r="AW355" s="468">
        <f t="shared" si="380"/>
        <v>-570000</v>
      </c>
      <c r="AX355" s="272"/>
      <c r="AY355" s="272"/>
      <c r="AZ355" s="272"/>
      <c r="BA355" s="272"/>
      <c r="BB355" s="272"/>
      <c r="BC355" s="437">
        <f>'[2]PRIH REBALANS'!$AH$878</f>
        <v>1285113</v>
      </c>
      <c r="BD355" s="437">
        <f t="shared" si="383"/>
        <v>-570000</v>
      </c>
      <c r="BF355" s="437"/>
    </row>
    <row r="356" spans="1:58" ht="39" customHeight="1">
      <c r="A356" s="1572"/>
      <c r="B356" s="1573"/>
      <c r="C356" s="1573"/>
      <c r="D356" s="1574" t="s">
        <v>1595</v>
      </c>
      <c r="E356" s="1673"/>
      <c r="F356" s="1809" t="s">
        <v>188</v>
      </c>
      <c r="G356" s="1868" t="s">
        <v>1471</v>
      </c>
      <c r="H356" s="1575"/>
      <c r="I356" s="1575"/>
      <c r="J356" s="1575"/>
      <c r="K356" s="1374"/>
      <c r="L356" s="1577"/>
      <c r="M356" s="1301">
        <v>265000</v>
      </c>
      <c r="N356" s="1302"/>
      <c r="O356" s="1375">
        <f>SUM(L356:N356)</f>
        <v>265000</v>
      </c>
      <c r="P356" s="1601"/>
      <c r="Q356" s="1301"/>
      <c r="R356" s="1302"/>
      <c r="S356" s="1375"/>
      <c r="T356" s="1577"/>
      <c r="U356" s="1301"/>
      <c r="V356" s="1302"/>
      <c r="W356" s="1375">
        <f>SUM(T356:V356)</f>
        <v>0</v>
      </c>
      <c r="X356" s="1578">
        <f t="shared" si="356"/>
        <v>0</v>
      </c>
      <c r="Y356" s="2457"/>
      <c r="Z356" s="1136"/>
      <c r="AA356" s="1136"/>
      <c r="AB356" s="1293">
        <f t="shared" si="349"/>
        <v>0</v>
      </c>
      <c r="AC356" s="1293">
        <f t="shared" si="354"/>
        <v>0</v>
      </c>
      <c r="AD356" s="1293">
        <f t="shared" si="357"/>
        <v>-265000</v>
      </c>
      <c r="AE356" s="1293">
        <f t="shared" si="350"/>
        <v>0</v>
      </c>
      <c r="AF356" s="1294"/>
      <c r="AG356" s="1294"/>
      <c r="AH356" s="1294">
        <f t="shared" si="355"/>
        <v>0</v>
      </c>
      <c r="AI356" s="1294">
        <f t="shared" si="379"/>
        <v>0</v>
      </c>
      <c r="AJ356" s="1293">
        <f t="shared" si="358"/>
        <v>0</v>
      </c>
      <c r="AK356" s="1294">
        <f t="shared" si="375"/>
        <v>0</v>
      </c>
      <c r="AL356" s="1294">
        <f t="shared" si="366"/>
        <v>0</v>
      </c>
      <c r="AM356" s="1294"/>
      <c r="AN356" s="1294"/>
      <c r="AO356" s="1294"/>
      <c r="AP356" s="1294"/>
      <c r="AQ356" s="1294"/>
      <c r="AR356" s="1294">
        <f t="shared" si="385"/>
        <v>0</v>
      </c>
      <c r="AS356" s="1136"/>
      <c r="AT356" s="668">
        <f t="shared" si="381"/>
        <v>-160000</v>
      </c>
      <c r="AU356" s="463"/>
      <c r="AV356" s="468">
        <f t="shared" si="382"/>
        <v>-160000</v>
      </c>
      <c r="AW356" s="468">
        <f t="shared" si="380"/>
        <v>320000</v>
      </c>
      <c r="AX356" s="272"/>
      <c r="AY356" s="272"/>
      <c r="AZ356" s="272"/>
      <c r="BA356" s="272"/>
      <c r="BB356" s="272"/>
      <c r="BC356" s="437"/>
      <c r="BD356" s="437">
        <f t="shared" si="383"/>
        <v>160000</v>
      </c>
      <c r="BE356">
        <f t="shared" ref="BE356:BE368" si="386">W362/O357*100</f>
        <v>16.851275904887185</v>
      </c>
      <c r="BF356" s="437">
        <f t="shared" ref="BF356:BF368" si="387">BE356-X361</f>
        <v>-2.0548845493333197</v>
      </c>
    </row>
    <row r="357" spans="1:58" ht="39" customHeight="1">
      <c r="A357" s="1376"/>
      <c r="B357" s="1377"/>
      <c r="C357" s="1377"/>
      <c r="D357" s="1574" t="s">
        <v>1596</v>
      </c>
      <c r="E357" s="1673"/>
      <c r="F357" s="1809"/>
      <c r="G357" s="1868" t="s">
        <v>486</v>
      </c>
      <c r="H357" s="1575"/>
      <c r="I357" s="1575">
        <v>436676</v>
      </c>
      <c r="J357" s="1575"/>
      <c r="K357" s="1374"/>
      <c r="L357" s="1577"/>
      <c r="M357" s="1301">
        <v>949483</v>
      </c>
      <c r="N357" s="1302"/>
      <c r="O357" s="1375">
        <f>SUM(L357:N357)</f>
        <v>949483</v>
      </c>
      <c r="P357" s="1577"/>
      <c r="Q357" s="1301"/>
      <c r="R357" s="1302"/>
      <c r="S357" s="1336"/>
      <c r="T357" s="1577"/>
      <c r="U357" s="1301"/>
      <c r="V357" s="1302"/>
      <c r="W357" s="1325"/>
      <c r="X357" s="1578">
        <f t="shared" si="356"/>
        <v>0</v>
      </c>
      <c r="Y357" s="2457"/>
      <c r="Z357" s="1136"/>
      <c r="AA357" s="1136"/>
      <c r="AB357" s="1293">
        <f t="shared" si="349"/>
        <v>0</v>
      </c>
      <c r="AC357" s="1293">
        <f t="shared" si="354"/>
        <v>0</v>
      </c>
      <c r="AD357" s="1293">
        <f t="shared" si="357"/>
        <v>-949483</v>
      </c>
      <c r="AE357" s="1293">
        <f t="shared" si="350"/>
        <v>0</v>
      </c>
      <c r="AF357" s="1294"/>
      <c r="AG357" s="1294"/>
      <c r="AH357" s="1294">
        <f t="shared" si="355"/>
        <v>0</v>
      </c>
      <c r="AI357" s="1294">
        <f t="shared" si="379"/>
        <v>0</v>
      </c>
      <c r="AJ357" s="1293">
        <f t="shared" si="358"/>
        <v>0</v>
      </c>
      <c r="AK357" s="1294">
        <f t="shared" si="375"/>
        <v>0</v>
      </c>
      <c r="AL357" s="1294">
        <f t="shared" si="366"/>
        <v>0</v>
      </c>
      <c r="AM357" s="1294"/>
      <c r="AN357" s="1294"/>
      <c r="AO357" s="1294"/>
      <c r="AP357" s="1294"/>
      <c r="AQ357" s="1294"/>
      <c r="AR357" s="1294">
        <f t="shared" si="385"/>
        <v>0</v>
      </c>
      <c r="AS357" s="1136"/>
      <c r="AT357" s="668">
        <f t="shared" si="381"/>
        <v>0</v>
      </c>
      <c r="AU357" s="463"/>
      <c r="AV357" s="468">
        <f t="shared" si="382"/>
        <v>0</v>
      </c>
      <c r="AW357" s="468">
        <f t="shared" si="380"/>
        <v>160000</v>
      </c>
      <c r="AX357" s="272"/>
      <c r="AY357" s="272"/>
      <c r="AZ357" s="272"/>
      <c r="BA357" s="272"/>
      <c r="BB357" s="272"/>
      <c r="BC357" s="437">
        <f>T361+U361+V361+-W362</f>
        <v>0</v>
      </c>
      <c r="BD357" s="437">
        <f t="shared" si="383"/>
        <v>0</v>
      </c>
      <c r="BE357">
        <f t="shared" si="386"/>
        <v>0</v>
      </c>
      <c r="BF357" s="437">
        <f t="shared" si="387"/>
        <v>-72.375265752928939</v>
      </c>
    </row>
    <row r="358" spans="1:58" ht="39" customHeight="1">
      <c r="A358" s="1376"/>
      <c r="B358" s="1573"/>
      <c r="C358" s="1573"/>
      <c r="D358" s="1574" t="s">
        <v>1567</v>
      </c>
      <c r="E358" s="1673"/>
      <c r="F358" s="1795" t="s">
        <v>195</v>
      </c>
      <c r="G358" s="1835" t="s">
        <v>727</v>
      </c>
      <c r="H358" s="1380">
        <f>SUM(H359:H360)</f>
        <v>0</v>
      </c>
      <c r="I358" s="1380">
        <f>SUM(I359:I360)</f>
        <v>2393717</v>
      </c>
      <c r="J358" s="1380">
        <f>SUM(J359:J360)</f>
        <v>0</v>
      </c>
      <c r="K358" s="1381">
        <f>SUM(K359:K360)</f>
        <v>0</v>
      </c>
      <c r="L358" s="1601">
        <f>SUM(L359:L360)</f>
        <v>0</v>
      </c>
      <c r="M358" s="1303">
        <f t="shared" ref="M358:N358" si="388">SUM(M359:M360)</f>
        <v>2399667</v>
      </c>
      <c r="N358" s="1304">
        <f t="shared" si="388"/>
        <v>0</v>
      </c>
      <c r="O358" s="1336">
        <f>O359+O360</f>
        <v>2399667</v>
      </c>
      <c r="P358" s="1577"/>
      <c r="Q358" s="1303">
        <f>SUM(Q359)</f>
        <v>650000</v>
      </c>
      <c r="R358" s="1304"/>
      <c r="S358" s="1336">
        <f>SUM(S359)</f>
        <v>0</v>
      </c>
      <c r="T358" s="1601"/>
      <c r="U358" s="1303">
        <f>SUM(U359)</f>
        <v>570000</v>
      </c>
      <c r="V358" s="1304"/>
      <c r="W358" s="1316">
        <f>SUM(W359)</f>
        <v>570000</v>
      </c>
      <c r="X358" s="1578">
        <f t="shared" si="356"/>
        <v>23.753295769788057</v>
      </c>
      <c r="Y358" s="2457"/>
      <c r="Z358" s="1136"/>
      <c r="AA358" s="1136"/>
      <c r="AB358" s="1293">
        <f t="shared" si="349"/>
        <v>0</v>
      </c>
      <c r="AC358" s="1293">
        <f t="shared" si="354"/>
        <v>0</v>
      </c>
      <c r="AD358" s="1293">
        <f t="shared" si="357"/>
        <v>-1829667</v>
      </c>
      <c r="AE358" s="1293">
        <f t="shared" si="350"/>
        <v>0</v>
      </c>
      <c r="AF358" s="1294"/>
      <c r="AG358" s="1294"/>
      <c r="AH358" s="1294">
        <f t="shared" si="355"/>
        <v>0</v>
      </c>
      <c r="AI358" s="1294">
        <f t="shared" si="379"/>
        <v>0</v>
      </c>
      <c r="AJ358" s="1293">
        <f t="shared" si="358"/>
        <v>0</v>
      </c>
      <c r="AK358" s="1294">
        <f t="shared" si="375"/>
        <v>0</v>
      </c>
      <c r="AL358" s="1294">
        <f t="shared" si="366"/>
        <v>0</v>
      </c>
      <c r="AM358" s="1294"/>
      <c r="AN358" s="1294"/>
      <c r="AO358" s="1294"/>
      <c r="AP358" s="1294"/>
      <c r="AQ358" s="1294"/>
      <c r="AR358" s="1294">
        <f t="shared" si="385"/>
        <v>0</v>
      </c>
      <c r="AS358" s="1136"/>
      <c r="AT358" s="668">
        <f t="shared" si="381"/>
        <v>160000</v>
      </c>
      <c r="AU358" s="463"/>
      <c r="AV358" s="468">
        <f t="shared" si="382"/>
        <v>160000</v>
      </c>
      <c r="AW358" s="468">
        <f t="shared" si="380"/>
        <v>-160000</v>
      </c>
      <c r="AX358" s="463"/>
      <c r="AY358" s="463"/>
      <c r="AZ358" s="463"/>
      <c r="BA358" s="463"/>
      <c r="BB358" s="463"/>
      <c r="BC358" s="437">
        <f>'[2]PRIH REBALANS'!$AK$882</f>
        <v>2399667.13</v>
      </c>
      <c r="BD358" s="437">
        <f t="shared" si="383"/>
        <v>-160000</v>
      </c>
      <c r="BE358">
        <f t="shared" si="386"/>
        <v>96.416563811404586</v>
      </c>
      <c r="BF358" s="437">
        <f t="shared" si="387"/>
        <v>96.416563811404586</v>
      </c>
    </row>
    <row r="359" spans="1:58" ht="39" customHeight="1">
      <c r="A359" s="1376"/>
      <c r="B359" s="1573"/>
      <c r="C359" s="1573"/>
      <c r="D359" s="1574" t="s">
        <v>1597</v>
      </c>
      <c r="E359" s="1673"/>
      <c r="F359" s="1809"/>
      <c r="G359" s="1865" t="s">
        <v>487</v>
      </c>
      <c r="H359" s="1575"/>
      <c r="I359" s="1575">
        <v>235480</v>
      </c>
      <c r="J359" s="1575"/>
      <c r="K359" s="1374"/>
      <c r="L359" s="1577"/>
      <c r="M359" s="1301">
        <v>810200</v>
      </c>
      <c r="N359" s="1302"/>
      <c r="O359" s="1375">
        <f t="shared" ref="O359:O360" si="389">M359</f>
        <v>810200</v>
      </c>
      <c r="P359" s="1601"/>
      <c r="Q359" s="1301">
        <v>650000</v>
      </c>
      <c r="R359" s="1302"/>
      <c r="S359" s="1375">
        <f>SUM(P357:R357)</f>
        <v>0</v>
      </c>
      <c r="T359" s="1577"/>
      <c r="U359" s="1301">
        <v>570000</v>
      </c>
      <c r="V359" s="1302"/>
      <c r="W359" s="1375">
        <f>SUM(T359:V359)</f>
        <v>570000</v>
      </c>
      <c r="X359" s="1578">
        <f t="shared" si="356"/>
        <v>70.352999259442115</v>
      </c>
      <c r="Y359" s="2457"/>
      <c r="Z359" s="1136"/>
      <c r="AA359" s="1136">
        <f>'[9]PRIH REBALANS'!$AH$869</f>
        <v>570000</v>
      </c>
      <c r="AB359" s="1293">
        <f t="shared" si="349"/>
        <v>0</v>
      </c>
      <c r="AC359" s="1293">
        <f t="shared" si="354"/>
        <v>0</v>
      </c>
      <c r="AD359" s="1293">
        <f t="shared" si="357"/>
        <v>-240200</v>
      </c>
      <c r="AE359" s="1293">
        <f t="shared" si="350"/>
        <v>0</v>
      </c>
      <c r="AF359" s="1294"/>
      <c r="AG359" s="1294"/>
      <c r="AH359" s="1294">
        <f t="shared" si="355"/>
        <v>0</v>
      </c>
      <c r="AI359" s="1294">
        <f t="shared" si="379"/>
        <v>0</v>
      </c>
      <c r="AJ359" s="1293">
        <f t="shared" si="358"/>
        <v>0</v>
      </c>
      <c r="AK359" s="1294">
        <f t="shared" si="375"/>
        <v>0</v>
      </c>
      <c r="AL359" s="1294">
        <f t="shared" si="366"/>
        <v>0</v>
      </c>
      <c r="AM359" s="1294"/>
      <c r="AN359" s="1294"/>
      <c r="AO359" s="1294"/>
      <c r="AP359" s="1294"/>
      <c r="AQ359" s="1294"/>
      <c r="AR359" s="1294">
        <f t="shared" si="385"/>
        <v>0</v>
      </c>
      <c r="AS359" s="1136"/>
      <c r="AT359" s="668">
        <f t="shared" si="381"/>
        <v>-781167</v>
      </c>
      <c r="AU359" s="463"/>
      <c r="AV359" s="468">
        <f t="shared" si="382"/>
        <v>-781167</v>
      </c>
      <c r="AW359" s="468">
        <f t="shared" si="380"/>
        <v>1562334</v>
      </c>
      <c r="AX359" s="272"/>
      <c r="AY359" s="272"/>
      <c r="AZ359" s="272"/>
      <c r="BA359" s="272"/>
      <c r="BB359" s="272"/>
      <c r="BC359" s="437">
        <f>'[2]PRIH REBALANS'!$AH$883</f>
        <v>810200</v>
      </c>
      <c r="BD359" s="437">
        <f t="shared" si="383"/>
        <v>781167</v>
      </c>
      <c r="BE359">
        <f t="shared" si="386"/>
        <v>49.146474887493731</v>
      </c>
      <c r="BF359" s="437">
        <f t="shared" si="387"/>
        <v>-13.651581281035973</v>
      </c>
    </row>
    <row r="360" spans="1:58" ht="39" customHeight="1">
      <c r="A360" s="1376"/>
      <c r="B360" s="1377"/>
      <c r="C360" s="1377"/>
      <c r="D360" s="1574" t="s">
        <v>1598</v>
      </c>
      <c r="E360" s="1673"/>
      <c r="F360" s="1809"/>
      <c r="G360" s="1865" t="s">
        <v>488</v>
      </c>
      <c r="H360" s="1575"/>
      <c r="I360" s="1575">
        <v>2158237</v>
      </c>
      <c r="J360" s="1575"/>
      <c r="K360" s="1374"/>
      <c r="L360" s="1577"/>
      <c r="M360" s="1301">
        <v>1589467</v>
      </c>
      <c r="N360" s="1302"/>
      <c r="O360" s="1375">
        <f t="shared" si="389"/>
        <v>1589467</v>
      </c>
      <c r="P360" s="1577"/>
      <c r="Q360" s="1301"/>
      <c r="R360" s="1302"/>
      <c r="S360" s="1336">
        <f>SUM(Q360)</f>
        <v>0</v>
      </c>
      <c r="T360" s="1577"/>
      <c r="U360" s="1301"/>
      <c r="V360" s="1302"/>
      <c r="W360" s="1325"/>
      <c r="X360" s="1578">
        <f t="shared" si="356"/>
        <v>0</v>
      </c>
      <c r="Y360" s="2457"/>
      <c r="Z360" s="1136"/>
      <c r="AA360" s="1136"/>
      <c r="AB360" s="1293">
        <f t="shared" si="349"/>
        <v>0</v>
      </c>
      <c r="AC360" s="1293">
        <f t="shared" si="354"/>
        <v>0</v>
      </c>
      <c r="AD360" s="1293">
        <f t="shared" si="357"/>
        <v>-1589467</v>
      </c>
      <c r="AE360" s="1293">
        <f t="shared" si="350"/>
        <v>0</v>
      </c>
      <c r="AF360" s="1294"/>
      <c r="AG360" s="1294"/>
      <c r="AH360" s="1294">
        <f t="shared" si="355"/>
        <v>0</v>
      </c>
      <c r="AI360" s="1294">
        <f t="shared" si="379"/>
        <v>0</v>
      </c>
      <c r="AJ360" s="1293">
        <f t="shared" si="358"/>
        <v>0</v>
      </c>
      <c r="AK360" s="1294">
        <f t="shared" si="375"/>
        <v>0</v>
      </c>
      <c r="AL360" s="1294">
        <f t="shared" si="366"/>
        <v>0</v>
      </c>
      <c r="AM360" s="1294"/>
      <c r="AN360" s="1294"/>
      <c r="AO360" s="1294"/>
      <c r="AP360" s="1294"/>
      <c r="AQ360" s="1294"/>
      <c r="AR360" s="1294">
        <f t="shared" si="385"/>
        <v>0</v>
      </c>
      <c r="AS360" s="1136"/>
      <c r="AT360" s="668">
        <f t="shared" si="381"/>
        <v>0</v>
      </c>
      <c r="AU360" s="463"/>
      <c r="AV360" s="468">
        <f t="shared" si="382"/>
        <v>0</v>
      </c>
      <c r="AW360" s="468">
        <f t="shared" si="380"/>
        <v>781167</v>
      </c>
      <c r="AX360" s="272"/>
      <c r="AY360" s="272"/>
      <c r="AZ360" s="272"/>
      <c r="BA360" s="272"/>
      <c r="BB360" s="272"/>
      <c r="BC360" s="437">
        <f>'[2]PRIH REBALANS'!$AI$885</f>
        <v>1589467.13</v>
      </c>
      <c r="BD360" s="437">
        <f t="shared" si="383"/>
        <v>0</v>
      </c>
      <c r="BE360">
        <f t="shared" si="386"/>
        <v>254.05153110358802</v>
      </c>
      <c r="BF360" s="437">
        <f t="shared" si="387"/>
        <v>191.25347493505831</v>
      </c>
    </row>
    <row r="361" spans="1:58" ht="39" customHeight="1">
      <c r="A361" s="1376"/>
      <c r="B361" s="1377"/>
      <c r="C361" s="1377"/>
      <c r="D361" s="1574" t="s">
        <v>1599</v>
      </c>
      <c r="E361" s="1673"/>
      <c r="F361" s="1795" t="s">
        <v>195</v>
      </c>
      <c r="G361" s="1835" t="s">
        <v>728</v>
      </c>
      <c r="H361" s="1380">
        <f>SUM(H362:H363)</f>
        <v>0</v>
      </c>
      <c r="I361" s="1380">
        <f>SUM(I362:I363)</f>
        <v>781118</v>
      </c>
      <c r="J361" s="1380">
        <f>SUM(J362:J363)</f>
        <v>0</v>
      </c>
      <c r="K361" s="1381">
        <f>SUM(K362:K363)</f>
        <v>0</v>
      </c>
      <c r="L361" s="1601">
        <f>SUM(L362:L363)</f>
        <v>0</v>
      </c>
      <c r="M361" s="1303">
        <f t="shared" ref="M361:N361" si="390">SUM(M362:M363)</f>
        <v>846285</v>
      </c>
      <c r="N361" s="1304">
        <f t="shared" si="390"/>
        <v>0</v>
      </c>
      <c r="O361" s="1336">
        <f>O362+O363</f>
        <v>846285</v>
      </c>
      <c r="P361" s="1577"/>
      <c r="Q361" s="1303">
        <f>SUM(Q362)</f>
        <v>160000</v>
      </c>
      <c r="R361" s="1304"/>
      <c r="S361" s="1336">
        <f>SUM(S362)</f>
        <v>0</v>
      </c>
      <c r="T361" s="1601"/>
      <c r="U361" s="1303">
        <f>SUM(U362)</f>
        <v>160000</v>
      </c>
      <c r="V361" s="1304"/>
      <c r="W361" s="1316">
        <f>SUM(W362)</f>
        <v>160000</v>
      </c>
      <c r="X361" s="1578">
        <f t="shared" si="356"/>
        <v>18.906160454220505</v>
      </c>
      <c r="Y361" s="2457"/>
      <c r="Z361" s="1136"/>
      <c r="AA361" s="1136"/>
      <c r="AB361" s="1293">
        <f t="shared" si="349"/>
        <v>0</v>
      </c>
      <c r="AC361" s="1293">
        <f t="shared" si="354"/>
        <v>0</v>
      </c>
      <c r="AD361" s="1293">
        <f t="shared" si="357"/>
        <v>-686285</v>
      </c>
      <c r="AE361" s="1293">
        <f t="shared" si="350"/>
        <v>0</v>
      </c>
      <c r="AF361" s="1294"/>
      <c r="AG361" s="1294"/>
      <c r="AH361" s="1294">
        <f t="shared" si="355"/>
        <v>0</v>
      </c>
      <c r="AI361" s="1294">
        <f t="shared" si="379"/>
        <v>0</v>
      </c>
      <c r="AJ361" s="1293">
        <f t="shared" si="358"/>
        <v>0</v>
      </c>
      <c r="AK361" s="1294">
        <f t="shared" si="375"/>
        <v>0</v>
      </c>
      <c r="AL361" s="1294">
        <f t="shared" si="366"/>
        <v>0</v>
      </c>
      <c r="AM361" s="1294"/>
      <c r="AN361" s="1294"/>
      <c r="AO361" s="1294"/>
      <c r="AP361" s="1294"/>
      <c r="AQ361" s="1294"/>
      <c r="AR361" s="1294">
        <f t="shared" si="385"/>
        <v>0</v>
      </c>
      <c r="AS361" s="1136"/>
      <c r="AT361" s="668">
        <f t="shared" si="381"/>
        <v>-1368833</v>
      </c>
      <c r="AU361" s="463"/>
      <c r="AV361" s="468">
        <f t="shared" si="382"/>
        <v>-1368833</v>
      </c>
      <c r="AW361" s="468">
        <f t="shared" si="380"/>
        <v>3518833</v>
      </c>
      <c r="AX361" s="463"/>
      <c r="AY361" s="463"/>
      <c r="AZ361" s="463"/>
      <c r="BA361" s="463"/>
      <c r="BB361" s="463"/>
      <c r="BC361" s="437">
        <f>'[2]PRIH REBALANS'!$AK$886</f>
        <v>846284.72</v>
      </c>
      <c r="BD361" s="437">
        <f t="shared" si="383"/>
        <v>1368833</v>
      </c>
      <c r="BE361">
        <f t="shared" si="386"/>
        <v>0</v>
      </c>
      <c r="BF361" s="437">
        <f t="shared" si="387"/>
        <v>-55.474665752237762</v>
      </c>
    </row>
    <row r="362" spans="1:58" ht="39" customHeight="1">
      <c r="A362" s="1376"/>
      <c r="B362" s="1377"/>
      <c r="C362" s="1377"/>
      <c r="D362" s="1574" t="s">
        <v>1600</v>
      </c>
      <c r="E362" s="1673"/>
      <c r="F362" s="1809"/>
      <c r="G362" s="1865" t="s">
        <v>489</v>
      </c>
      <c r="H362" s="1575"/>
      <c r="I362" s="1608">
        <v>132060</v>
      </c>
      <c r="J362" s="1575"/>
      <c r="K362" s="1374"/>
      <c r="L362" s="1577"/>
      <c r="M362" s="1331">
        <v>221070</v>
      </c>
      <c r="N362" s="1302"/>
      <c r="O362" s="1375">
        <f>SUM(L362:N362)</f>
        <v>221070</v>
      </c>
      <c r="P362" s="1601"/>
      <c r="Q362" s="1331">
        <v>160000</v>
      </c>
      <c r="R362" s="1302"/>
      <c r="S362" s="1375">
        <f>SUM(P360:R360)</f>
        <v>0</v>
      </c>
      <c r="T362" s="1577"/>
      <c r="U362" s="1331">
        <v>160000</v>
      </c>
      <c r="V362" s="1302"/>
      <c r="W362" s="1375">
        <f>SUM(T362:V362)</f>
        <v>160000</v>
      </c>
      <c r="X362" s="1578">
        <f t="shared" si="356"/>
        <v>72.375265752928939</v>
      </c>
      <c r="Y362" s="2457"/>
      <c r="Z362" s="1136"/>
      <c r="AA362" s="1136"/>
      <c r="AB362" s="1293">
        <f t="shared" si="349"/>
        <v>0</v>
      </c>
      <c r="AC362" s="1293">
        <f t="shared" si="354"/>
        <v>0</v>
      </c>
      <c r="AD362" s="1293">
        <f t="shared" si="357"/>
        <v>-61070</v>
      </c>
      <c r="AE362" s="1293">
        <f t="shared" si="350"/>
        <v>0</v>
      </c>
      <c r="AF362" s="1294"/>
      <c r="AG362" s="1294"/>
      <c r="AH362" s="1294">
        <f t="shared" si="355"/>
        <v>0</v>
      </c>
      <c r="AI362" s="1294">
        <f t="shared" si="379"/>
        <v>0</v>
      </c>
      <c r="AJ362" s="1293">
        <f t="shared" si="358"/>
        <v>0</v>
      </c>
      <c r="AK362" s="1294">
        <f t="shared" si="375"/>
        <v>0</v>
      </c>
      <c r="AL362" s="1294">
        <f t="shared" si="366"/>
        <v>0</v>
      </c>
      <c r="AM362" s="1294"/>
      <c r="AN362" s="1294"/>
      <c r="AO362" s="1294"/>
      <c r="AP362" s="1294"/>
      <c r="AQ362" s="1294"/>
      <c r="AR362" s="1294">
        <f t="shared" si="385"/>
        <v>0</v>
      </c>
      <c r="AS362" s="1136"/>
      <c r="AT362" s="668">
        <f t="shared" si="381"/>
        <v>2150000</v>
      </c>
      <c r="AU362" s="463"/>
      <c r="AV362" s="468">
        <f t="shared" si="382"/>
        <v>2150000</v>
      </c>
      <c r="AW362" s="468">
        <f t="shared" si="380"/>
        <v>-2150000</v>
      </c>
      <c r="AX362" s="272"/>
      <c r="AY362" s="272"/>
      <c r="AZ362" s="272"/>
      <c r="BA362" s="272"/>
      <c r="BB362" s="272"/>
      <c r="BC362" s="437">
        <f>'[2]PRIH REBALANS'!$AH$887</f>
        <v>221070</v>
      </c>
      <c r="BD362" s="437">
        <f t="shared" si="383"/>
        <v>-2150000</v>
      </c>
      <c r="BE362">
        <f t="shared" si="386"/>
        <v>7.9972489463624505</v>
      </c>
      <c r="BF362" s="437">
        <f t="shared" si="387"/>
        <v>7.9972489463624505</v>
      </c>
    </row>
    <row r="363" spans="1:58" ht="49.5" customHeight="1">
      <c r="A363" s="1376"/>
      <c r="B363" s="1377"/>
      <c r="C363" s="1377"/>
      <c r="D363" s="1574" t="s">
        <v>1601</v>
      </c>
      <c r="E363" s="1673"/>
      <c r="F363" s="1809"/>
      <c r="G363" s="1865" t="s">
        <v>1233</v>
      </c>
      <c r="H363" s="1575"/>
      <c r="I363" s="1608">
        <v>649058</v>
      </c>
      <c r="J363" s="1575"/>
      <c r="K363" s="1374"/>
      <c r="L363" s="1577"/>
      <c r="M363" s="1331">
        <v>625215</v>
      </c>
      <c r="N363" s="1302"/>
      <c r="O363" s="1375">
        <f>SUM(L363:N363)</f>
        <v>625215</v>
      </c>
      <c r="P363" s="1577"/>
      <c r="Q363" s="1331"/>
      <c r="R363" s="1302"/>
      <c r="S363" s="1336"/>
      <c r="T363" s="1577"/>
      <c r="U363" s="1331"/>
      <c r="V363" s="1302"/>
      <c r="W363" s="1325"/>
      <c r="X363" s="1578">
        <f t="shared" si="356"/>
        <v>0</v>
      </c>
      <c r="Y363" s="2457"/>
      <c r="Z363" s="1136"/>
      <c r="AA363" s="1136"/>
      <c r="AB363" s="1293">
        <f t="shared" si="349"/>
        <v>0</v>
      </c>
      <c r="AC363" s="1293">
        <f t="shared" si="354"/>
        <v>0</v>
      </c>
      <c r="AD363" s="1293">
        <f t="shared" si="357"/>
        <v>-625215</v>
      </c>
      <c r="AE363" s="1293">
        <f t="shared" si="350"/>
        <v>0</v>
      </c>
      <c r="AF363" s="1294"/>
      <c r="AG363" s="1294"/>
      <c r="AH363" s="1294">
        <f t="shared" si="355"/>
        <v>0</v>
      </c>
      <c r="AI363" s="1294">
        <f t="shared" si="379"/>
        <v>0</v>
      </c>
      <c r="AJ363" s="1293">
        <f t="shared" si="358"/>
        <v>0</v>
      </c>
      <c r="AK363" s="1294">
        <f t="shared" si="375"/>
        <v>0</v>
      </c>
      <c r="AL363" s="1294">
        <f t="shared" si="366"/>
        <v>0</v>
      </c>
      <c r="AM363" s="1294"/>
      <c r="AN363" s="1294"/>
      <c r="AO363" s="1294"/>
      <c r="AP363" s="1294"/>
      <c r="AQ363" s="1294"/>
      <c r="AR363" s="1294">
        <f t="shared" si="385"/>
        <v>0</v>
      </c>
      <c r="AS363" s="1136"/>
      <c r="AT363" s="668">
        <f t="shared" si="381"/>
        <v>-50000</v>
      </c>
      <c r="AU363" s="463"/>
      <c r="AV363" s="468">
        <f t="shared" si="382"/>
        <v>-50000</v>
      </c>
      <c r="AW363" s="468">
        <f t="shared" si="380"/>
        <v>100000</v>
      </c>
      <c r="AX363" s="272"/>
      <c r="AY363" s="272"/>
      <c r="AZ363" s="272"/>
      <c r="BA363" s="272"/>
      <c r="BB363" s="272"/>
      <c r="BC363" s="437">
        <f>T367+U367+V367+-W368</f>
        <v>-50000</v>
      </c>
      <c r="BD363" s="437">
        <f t="shared" si="383"/>
        <v>50000</v>
      </c>
      <c r="BE363">
        <f t="shared" si="386"/>
        <v>0</v>
      </c>
      <c r="BF363" s="437">
        <f t="shared" si="387"/>
        <v>-6.0653333446552891</v>
      </c>
    </row>
    <row r="364" spans="1:58" ht="39" customHeight="1">
      <c r="A364" s="1376"/>
      <c r="B364" s="1377"/>
      <c r="C364" s="1377"/>
      <c r="D364" s="1574" t="s">
        <v>1602</v>
      </c>
      <c r="E364" s="1673"/>
      <c r="F364" s="1795" t="s">
        <v>195</v>
      </c>
      <c r="G364" s="1835" t="s">
        <v>729</v>
      </c>
      <c r="H364" s="1380">
        <f>SUM(H365:H365)</f>
        <v>0</v>
      </c>
      <c r="I364" s="1380">
        <f>SUM(I365:I365)</f>
        <v>498573</v>
      </c>
      <c r="J364" s="1380">
        <f>SUM(J365:J365)</f>
        <v>0</v>
      </c>
      <c r="K364" s="1381">
        <f>SUM(K365:K365)</f>
        <v>0</v>
      </c>
      <c r="L364" s="1601">
        <f>SUM(L365:L365)</f>
        <v>0</v>
      </c>
      <c r="M364" s="1303">
        <f t="shared" ref="M364:N364" si="391">SUM(M365:M365)</f>
        <v>1243935</v>
      </c>
      <c r="N364" s="1304">
        <f t="shared" si="391"/>
        <v>0</v>
      </c>
      <c r="O364" s="1336">
        <f t="shared" ref="O364" si="392">M364</f>
        <v>1243935</v>
      </c>
      <c r="P364" s="1577"/>
      <c r="Q364" s="1303">
        <f>SUM(Q365)</f>
        <v>724750</v>
      </c>
      <c r="R364" s="1304"/>
      <c r="S364" s="1336">
        <f>SUM(S365)</f>
        <v>0</v>
      </c>
      <c r="T364" s="1601"/>
      <c r="U364" s="1303">
        <f>SUM(U365)</f>
        <v>781167</v>
      </c>
      <c r="V364" s="1304"/>
      <c r="W364" s="1316">
        <f>SUM(W365)</f>
        <v>781167</v>
      </c>
      <c r="X364" s="1578">
        <f t="shared" si="356"/>
        <v>62.798056168529705</v>
      </c>
      <c r="Y364" s="2457"/>
      <c r="Z364" s="1136"/>
      <c r="AA364" s="1136"/>
      <c r="AB364" s="1293">
        <f t="shared" si="349"/>
        <v>0</v>
      </c>
      <c r="AC364" s="1293">
        <f t="shared" si="354"/>
        <v>0</v>
      </c>
      <c r="AD364" s="1293">
        <f t="shared" si="357"/>
        <v>-462768</v>
      </c>
      <c r="AE364" s="1293">
        <f t="shared" si="350"/>
        <v>0</v>
      </c>
      <c r="AF364" s="1294"/>
      <c r="AG364" s="1294"/>
      <c r="AH364" s="1294">
        <f t="shared" si="355"/>
        <v>0</v>
      </c>
      <c r="AI364" s="1294">
        <f t="shared" si="379"/>
        <v>0</v>
      </c>
      <c r="AJ364" s="1293">
        <f t="shared" si="358"/>
        <v>0</v>
      </c>
      <c r="AK364" s="1294">
        <f t="shared" si="375"/>
        <v>0</v>
      </c>
      <c r="AL364" s="1294">
        <f t="shared" si="366"/>
        <v>0</v>
      </c>
      <c r="AM364" s="1294"/>
      <c r="AN364" s="1294"/>
      <c r="AO364" s="1294"/>
      <c r="AP364" s="1294"/>
      <c r="AQ364" s="1294"/>
      <c r="AR364" s="1294">
        <f t="shared" si="385"/>
        <v>0</v>
      </c>
      <c r="AS364" s="1136"/>
      <c r="AT364" s="668">
        <f t="shared" si="381"/>
        <v>50000</v>
      </c>
      <c r="AU364" s="463"/>
      <c r="AV364" s="468">
        <f t="shared" si="382"/>
        <v>50000</v>
      </c>
      <c r="AW364" s="468">
        <f t="shared" si="380"/>
        <v>-50000</v>
      </c>
      <c r="AX364" s="463"/>
      <c r="AY364" s="463"/>
      <c r="AZ364" s="463"/>
      <c r="BA364" s="463"/>
      <c r="BB364" s="463"/>
      <c r="BC364" s="437">
        <f>T368+U368+V368+-W369</f>
        <v>50000</v>
      </c>
      <c r="BD364" s="437">
        <f t="shared" si="383"/>
        <v>-50000</v>
      </c>
      <c r="BE364">
        <f t="shared" si="386"/>
        <v>0</v>
      </c>
      <c r="BF364" s="437">
        <f t="shared" si="387"/>
        <v>0</v>
      </c>
    </row>
    <row r="365" spans="1:58" ht="39" customHeight="1">
      <c r="A365" s="1376"/>
      <c r="B365" s="1377"/>
      <c r="C365" s="1377"/>
      <c r="D365" s="1574" t="s">
        <v>1603</v>
      </c>
      <c r="E365" s="1673"/>
      <c r="F365" s="1809"/>
      <c r="G365" s="1865" t="s">
        <v>490</v>
      </c>
      <c r="H365" s="1575"/>
      <c r="I365" s="1575">
        <v>498573</v>
      </c>
      <c r="J365" s="1575"/>
      <c r="K365" s="1374"/>
      <c r="L365" s="1577"/>
      <c r="M365" s="1301">
        <v>1243935</v>
      </c>
      <c r="N365" s="1302"/>
      <c r="O365" s="1375">
        <f>SUM(L365:N365)</f>
        <v>1243935</v>
      </c>
      <c r="P365" s="1601"/>
      <c r="Q365" s="1301">
        <v>724750</v>
      </c>
      <c r="R365" s="1302"/>
      <c r="S365" s="1375">
        <f>SUM(P363:R363)</f>
        <v>0</v>
      </c>
      <c r="T365" s="1577"/>
      <c r="U365" s="1301">
        <v>781167</v>
      </c>
      <c r="V365" s="1302"/>
      <c r="W365" s="1375">
        <f>SUM(T365:V365)</f>
        <v>781167</v>
      </c>
      <c r="X365" s="1578">
        <f t="shared" si="356"/>
        <v>62.798056168529705</v>
      </c>
      <c r="Y365" s="2457"/>
      <c r="Z365" s="1136"/>
      <c r="AA365" s="1136">
        <f>'[1]PRIH REBALANS'!$AH$128</f>
        <v>781167</v>
      </c>
      <c r="AB365" s="1293">
        <f t="shared" si="349"/>
        <v>0</v>
      </c>
      <c r="AC365" s="1293">
        <f t="shared" si="354"/>
        <v>0</v>
      </c>
      <c r="AD365" s="1293">
        <f t="shared" si="357"/>
        <v>-462768</v>
      </c>
      <c r="AE365" s="1293">
        <f t="shared" si="350"/>
        <v>0</v>
      </c>
      <c r="AF365" s="1294"/>
      <c r="AG365" s="1294"/>
      <c r="AH365" s="1294">
        <f t="shared" si="355"/>
        <v>0</v>
      </c>
      <c r="AI365" s="1294">
        <f t="shared" si="379"/>
        <v>0</v>
      </c>
      <c r="AJ365" s="1293">
        <f t="shared" si="358"/>
        <v>0</v>
      </c>
      <c r="AK365" s="1294">
        <f t="shared" si="375"/>
        <v>0</v>
      </c>
      <c r="AL365" s="1294">
        <f t="shared" si="366"/>
        <v>0</v>
      </c>
      <c r="AM365" s="1294"/>
      <c r="AN365" s="1294"/>
      <c r="AO365" s="1294"/>
      <c r="AP365" s="1294"/>
      <c r="AQ365" s="1294"/>
      <c r="AR365" s="1294">
        <f t="shared" si="385"/>
        <v>0</v>
      </c>
      <c r="AS365" s="1136"/>
      <c r="AT365" s="668">
        <f t="shared" si="381"/>
        <v>0</v>
      </c>
      <c r="AU365" s="463"/>
      <c r="AV365" s="468">
        <f t="shared" si="382"/>
        <v>0</v>
      </c>
      <c r="AW365" s="468">
        <f t="shared" si="380"/>
        <v>0</v>
      </c>
      <c r="AX365" s="272"/>
      <c r="AY365" s="272"/>
      <c r="AZ365" s="272"/>
      <c r="BA365" s="272"/>
      <c r="BB365" s="272"/>
      <c r="BC365" s="437">
        <f>'[2]PRIH REBALANS'!$AH$890</f>
        <v>1243935</v>
      </c>
      <c r="BD365" s="437">
        <f t="shared" si="383"/>
        <v>0</v>
      </c>
      <c r="BE365">
        <f t="shared" si="386"/>
        <v>0</v>
      </c>
      <c r="BF365" s="437">
        <f t="shared" si="387"/>
        <v>0</v>
      </c>
    </row>
    <row r="366" spans="1:58" ht="84.75" customHeight="1">
      <c r="A366" s="1674"/>
      <c r="B366" s="1377"/>
      <c r="C366" s="1377"/>
      <c r="D366" s="1378" t="s">
        <v>321</v>
      </c>
      <c r="E366" s="1673"/>
      <c r="F366" s="1810" t="s">
        <v>195</v>
      </c>
      <c r="G366" s="1835" t="s">
        <v>730</v>
      </c>
      <c r="H366" s="1380"/>
      <c r="I366" s="1380">
        <v>1518000</v>
      </c>
      <c r="J366" s="1380"/>
      <c r="K366" s="1381"/>
      <c r="L366" s="1601"/>
      <c r="M366" s="1303">
        <v>3875643</v>
      </c>
      <c r="N366" s="1304"/>
      <c r="O366" s="1336">
        <f>SUM(L366+M366+N366)</f>
        <v>3875643</v>
      </c>
      <c r="P366" s="1601"/>
      <c r="Q366" s="1301"/>
      <c r="R366" s="1302"/>
      <c r="S366" s="1375">
        <f t="shared" ref="S366:S368" si="393">SUM(Q366)</f>
        <v>0</v>
      </c>
      <c r="T366" s="1577"/>
      <c r="U366" s="1391">
        <v>2150000</v>
      </c>
      <c r="V366" s="1302"/>
      <c r="W366" s="1336">
        <f>SUM(T366+U366+V366)</f>
        <v>2150000</v>
      </c>
      <c r="X366" s="1578">
        <f t="shared" si="356"/>
        <v>55.474665752237762</v>
      </c>
      <c r="Y366" s="2457"/>
      <c r="Z366" s="1136"/>
      <c r="AA366" s="1136">
        <f>'[1]PRIH REBALANS'!$AH$879</f>
        <v>2150000</v>
      </c>
      <c r="AB366" s="1293">
        <f t="shared" si="349"/>
        <v>0</v>
      </c>
      <c r="AC366" s="1293">
        <f t="shared" si="354"/>
        <v>0</v>
      </c>
      <c r="AD366" s="1293">
        <f t="shared" si="357"/>
        <v>-1725643</v>
      </c>
      <c r="AE366" s="1293">
        <f t="shared" si="350"/>
        <v>0</v>
      </c>
      <c r="AF366" s="1294"/>
      <c r="AG366" s="1294"/>
      <c r="AH366" s="1294">
        <f t="shared" si="355"/>
        <v>0</v>
      </c>
      <c r="AI366" s="1294">
        <f t="shared" si="379"/>
        <v>0</v>
      </c>
      <c r="AJ366" s="1293">
        <f t="shared" si="358"/>
        <v>0</v>
      </c>
      <c r="AK366" s="1294">
        <f t="shared" si="375"/>
        <v>0</v>
      </c>
      <c r="AL366" s="1294">
        <f t="shared" si="366"/>
        <v>0</v>
      </c>
      <c r="AM366" s="1294"/>
      <c r="AN366" s="1294"/>
      <c r="AO366" s="1294"/>
      <c r="AP366" s="1294"/>
      <c r="AQ366" s="1294"/>
      <c r="AR366" s="1294">
        <f t="shared" si="385"/>
        <v>0</v>
      </c>
      <c r="AS366" s="1136"/>
      <c r="AT366" s="668">
        <f t="shared" si="381"/>
        <v>0</v>
      </c>
      <c r="AU366" s="463"/>
      <c r="AV366" s="468">
        <f t="shared" si="382"/>
        <v>0</v>
      </c>
      <c r="AW366" s="468">
        <f>'[3]PRIH REBALANS'!$AH$893</f>
        <v>3875643</v>
      </c>
      <c r="AX366" s="463"/>
      <c r="AY366" s="463"/>
      <c r="AZ366" s="463"/>
      <c r="BA366" s="463"/>
      <c r="BB366" s="463"/>
      <c r="BC366" s="437">
        <f>'[2]PRIH REBALANS'!$AH$893</f>
        <v>4011643</v>
      </c>
      <c r="BD366" s="437"/>
      <c r="BE366">
        <f t="shared" si="386"/>
        <v>5.1647690444402556</v>
      </c>
      <c r="BF366" s="437">
        <f t="shared" si="387"/>
        <v>5.1647690444402556</v>
      </c>
    </row>
    <row r="367" spans="1:58" ht="84.75" customHeight="1">
      <c r="A367" s="1674"/>
      <c r="B367" s="1377"/>
      <c r="C367" s="1377"/>
      <c r="D367" s="1378" t="s">
        <v>491</v>
      </c>
      <c r="E367" s="1673"/>
      <c r="F367" s="1810"/>
      <c r="G367" s="1835" t="s">
        <v>1243</v>
      </c>
      <c r="H367" s="1380"/>
      <c r="I367" s="1380"/>
      <c r="J367" s="1380"/>
      <c r="K367" s="1381"/>
      <c r="L367" s="1601"/>
      <c r="M367" s="1303">
        <v>3485151</v>
      </c>
      <c r="N367" s="1304"/>
      <c r="O367" s="1336">
        <f t="shared" ref="O367:O373" si="394">SUM(L367+M367+N367)</f>
        <v>3485151</v>
      </c>
      <c r="P367" s="1601"/>
      <c r="Q367" s="1303"/>
      <c r="R367" s="1304"/>
      <c r="S367" s="1336"/>
      <c r="T367" s="1601"/>
      <c r="U367" s="1303"/>
      <c r="V367" s="1304"/>
      <c r="W367" s="1336">
        <f t="shared" ref="W367:W373" si="395">SUM(T367+U367+V367)</f>
        <v>0</v>
      </c>
      <c r="X367" s="1578">
        <f t="shared" si="356"/>
        <v>0</v>
      </c>
      <c r="Y367" s="2457"/>
      <c r="Z367" s="1136"/>
      <c r="AA367" s="1136"/>
      <c r="AB367" s="1293">
        <f t="shared" si="349"/>
        <v>0</v>
      </c>
      <c r="AC367" s="1293">
        <f t="shared" si="354"/>
        <v>0</v>
      </c>
      <c r="AD367" s="1293">
        <f t="shared" si="357"/>
        <v>-3485151</v>
      </c>
      <c r="AE367" s="1293">
        <f t="shared" si="350"/>
        <v>0</v>
      </c>
      <c r="AF367" s="1294"/>
      <c r="AG367" s="1294"/>
      <c r="AH367" s="1294">
        <f t="shared" si="355"/>
        <v>0</v>
      </c>
      <c r="AI367" s="1294">
        <f t="shared" si="379"/>
        <v>0</v>
      </c>
      <c r="AJ367" s="1293">
        <f t="shared" si="358"/>
        <v>0</v>
      </c>
      <c r="AK367" s="1294">
        <f t="shared" si="375"/>
        <v>0</v>
      </c>
      <c r="AL367" s="1294">
        <f t="shared" ref="AL367:AL392" si="396">T367+U367+V367-W367</f>
        <v>0</v>
      </c>
      <c r="AM367" s="1294"/>
      <c r="AN367" s="1294"/>
      <c r="AO367" s="1294"/>
      <c r="AP367" s="1294"/>
      <c r="AQ367" s="1294"/>
      <c r="AR367" s="1294">
        <f t="shared" si="385"/>
        <v>0</v>
      </c>
      <c r="AS367" s="1136"/>
      <c r="AT367" s="668">
        <f t="shared" si="381"/>
        <v>-180000</v>
      </c>
      <c r="AU367" s="463"/>
      <c r="AV367" s="468">
        <f t="shared" si="382"/>
        <v>-180000</v>
      </c>
      <c r="AW367" s="468">
        <f>'[3]PRIH REBALANS'!$AI$894</f>
        <v>3485151</v>
      </c>
      <c r="AX367" s="463"/>
      <c r="AY367" s="463"/>
      <c r="AZ367" s="463"/>
      <c r="BA367" s="463"/>
      <c r="BB367" s="463"/>
      <c r="BC367" s="437">
        <f>'[2]PRIH REBALANS'!$AI$894+'[2]PRIH REBALANS'!$AI$895+'[2]PRIH REBALANS'!$AI$907</f>
        <v>3908827</v>
      </c>
      <c r="BD367" s="437">
        <f>BC367-U371</f>
        <v>3908827</v>
      </c>
      <c r="BE367">
        <f t="shared" si="386"/>
        <v>0</v>
      </c>
      <c r="BF367" s="437">
        <f t="shared" si="387"/>
        <v>-85.714285714285708</v>
      </c>
    </row>
    <row r="368" spans="1:58" ht="84.75" customHeight="1">
      <c r="A368" s="1674"/>
      <c r="B368" s="1377"/>
      <c r="C368" s="1377"/>
      <c r="D368" s="1378" t="s">
        <v>492</v>
      </c>
      <c r="E368" s="1673"/>
      <c r="F368" s="1810" t="s">
        <v>188</v>
      </c>
      <c r="G368" s="1835" t="s">
        <v>1181</v>
      </c>
      <c r="H368" s="1380"/>
      <c r="I368" s="1380"/>
      <c r="J368" s="1380"/>
      <c r="K368" s="1381"/>
      <c r="L368" s="1601"/>
      <c r="M368" s="1303">
        <v>824357</v>
      </c>
      <c r="N368" s="1304"/>
      <c r="O368" s="1336">
        <f t="shared" si="394"/>
        <v>824357</v>
      </c>
      <c r="P368" s="1601"/>
      <c r="Q368" s="1303"/>
      <c r="R368" s="1304"/>
      <c r="S368" s="1336">
        <f t="shared" si="393"/>
        <v>0</v>
      </c>
      <c r="T368" s="1601"/>
      <c r="U368" s="1303">
        <v>50000</v>
      </c>
      <c r="V368" s="1304"/>
      <c r="W368" s="1336">
        <f t="shared" si="395"/>
        <v>50000</v>
      </c>
      <c r="X368" s="1578">
        <f t="shared" si="356"/>
        <v>6.0653333446552891</v>
      </c>
      <c r="Y368" s="2457"/>
      <c r="Z368" s="1136"/>
      <c r="AA368" s="1136"/>
      <c r="AB368" s="1293">
        <f t="shared" si="349"/>
        <v>0</v>
      </c>
      <c r="AC368" s="1293">
        <f t="shared" si="354"/>
        <v>0</v>
      </c>
      <c r="AD368" s="1293">
        <f t="shared" si="357"/>
        <v>-774357</v>
      </c>
      <c r="AE368" s="1293">
        <f t="shared" si="350"/>
        <v>0</v>
      </c>
      <c r="AF368" s="1294"/>
      <c r="AG368" s="1294"/>
      <c r="AH368" s="1294">
        <f t="shared" si="355"/>
        <v>0</v>
      </c>
      <c r="AI368" s="1294">
        <f t="shared" si="379"/>
        <v>0</v>
      </c>
      <c r="AJ368" s="1293">
        <f t="shared" si="358"/>
        <v>0</v>
      </c>
      <c r="AK368" s="1294">
        <f t="shared" si="375"/>
        <v>0</v>
      </c>
      <c r="AL368" s="1294">
        <f t="shared" si="396"/>
        <v>0</v>
      </c>
      <c r="AM368" s="1294"/>
      <c r="AN368" s="1294"/>
      <c r="AO368" s="1294"/>
      <c r="AP368" s="1294"/>
      <c r="AQ368" s="1294"/>
      <c r="AR368" s="1294">
        <f t="shared" si="385"/>
        <v>0</v>
      </c>
      <c r="AS368" s="1136"/>
      <c r="AT368" s="668">
        <f t="shared" si="381"/>
        <v>180000</v>
      </c>
      <c r="AU368" s="463"/>
      <c r="AV368" s="468">
        <f t="shared" si="382"/>
        <v>180000</v>
      </c>
      <c r="AW368" s="468">
        <f>'[3]PRIH REBALANS'!$AH$899</f>
        <v>824357</v>
      </c>
      <c r="AX368" s="463"/>
      <c r="AY368" s="463"/>
      <c r="AZ368" s="463"/>
      <c r="BA368" s="463"/>
      <c r="BB368" s="463"/>
      <c r="BC368" s="437">
        <f>'[2]PRIH REBALANS'!$AH$899</f>
        <v>688357</v>
      </c>
      <c r="BD368" s="437"/>
      <c r="BE368">
        <f t="shared" si="386"/>
        <v>79.649542015133406</v>
      </c>
      <c r="BF368" s="437">
        <f t="shared" si="387"/>
        <v>79.649542015133406</v>
      </c>
    </row>
    <row r="369" spans="1:59" ht="84.75" customHeight="1">
      <c r="A369" s="1674"/>
      <c r="B369" s="1377"/>
      <c r="C369" s="1377"/>
      <c r="D369" s="1378" t="s">
        <v>1575</v>
      </c>
      <c r="E369" s="1673"/>
      <c r="F369" s="1810" t="s">
        <v>1182</v>
      </c>
      <c r="G369" s="1835" t="s">
        <v>1242</v>
      </c>
      <c r="H369" s="1380"/>
      <c r="I369" s="1380"/>
      <c r="J369" s="1380"/>
      <c r="K369" s="1381"/>
      <c r="L369" s="1601"/>
      <c r="M369" s="1303">
        <v>75330</v>
      </c>
      <c r="N369" s="1304"/>
      <c r="O369" s="1336">
        <f t="shared" si="394"/>
        <v>75330</v>
      </c>
      <c r="P369" s="1601"/>
      <c r="Q369" s="1303"/>
      <c r="R369" s="1304"/>
      <c r="S369" s="1336"/>
      <c r="T369" s="1601"/>
      <c r="U369" s="1303"/>
      <c r="V369" s="1304"/>
      <c r="W369" s="1336">
        <f t="shared" si="395"/>
        <v>0</v>
      </c>
      <c r="X369" s="1578">
        <f t="shared" si="356"/>
        <v>0</v>
      </c>
      <c r="Y369" s="2457"/>
      <c r="Z369" s="1136"/>
      <c r="AA369" s="1136"/>
      <c r="AB369" s="1293">
        <f t="shared" si="349"/>
        <v>0</v>
      </c>
      <c r="AC369" s="1293">
        <f t="shared" si="354"/>
        <v>0</v>
      </c>
      <c r="AD369" s="1293">
        <f t="shared" si="357"/>
        <v>-75330</v>
      </c>
      <c r="AE369" s="1293">
        <f t="shared" si="350"/>
        <v>0</v>
      </c>
      <c r="AF369" s="1294"/>
      <c r="AG369" s="1294"/>
      <c r="AH369" s="1294">
        <f t="shared" si="355"/>
        <v>0</v>
      </c>
      <c r="AI369" s="1294">
        <f t="shared" si="379"/>
        <v>0</v>
      </c>
      <c r="AJ369" s="1293">
        <f t="shared" si="358"/>
        <v>0</v>
      </c>
      <c r="AK369" s="1294">
        <f t="shared" si="375"/>
        <v>0</v>
      </c>
      <c r="AL369" s="1294">
        <f t="shared" si="396"/>
        <v>0</v>
      </c>
      <c r="AM369" s="1294"/>
      <c r="AN369" s="1294"/>
      <c r="AO369" s="1294"/>
      <c r="AP369" s="1294"/>
      <c r="AQ369" s="1294"/>
      <c r="AR369" s="1294">
        <f t="shared" si="385"/>
        <v>0</v>
      </c>
      <c r="AS369" s="1136"/>
      <c r="AT369" s="668">
        <f t="shared" si="381"/>
        <v>-60000</v>
      </c>
      <c r="AU369" s="463"/>
      <c r="AV369" s="468">
        <f t="shared" si="382"/>
        <v>-60000</v>
      </c>
      <c r="AW369" s="468">
        <f>W374-AV369</f>
        <v>120000</v>
      </c>
      <c r="AX369" s="463"/>
      <c r="AY369" s="463"/>
      <c r="AZ369" s="463"/>
      <c r="BA369" s="463"/>
      <c r="BB369" s="463"/>
      <c r="BC369" s="437">
        <f>'[2]PRIH REBALANS'!$I$908</f>
        <v>389611.81</v>
      </c>
      <c r="BD369" s="437"/>
      <c r="BE369" t="e">
        <f>#REF!/O370*100</f>
        <v>#REF!</v>
      </c>
      <c r="BF369" s="437" t="e">
        <f>BE369-X375</f>
        <v>#REF!</v>
      </c>
    </row>
    <row r="370" spans="1:59" ht="84.75" customHeight="1">
      <c r="A370" s="1674"/>
      <c r="B370" s="1377"/>
      <c r="C370" s="1377"/>
      <c r="D370" s="1378" t="s">
        <v>337</v>
      </c>
      <c r="E370" s="1673"/>
      <c r="F370" s="1810" t="s">
        <v>195</v>
      </c>
      <c r="G370" s="1835" t="s">
        <v>731</v>
      </c>
      <c r="H370" s="1380"/>
      <c r="I370" s="1380"/>
      <c r="J370" s="1380"/>
      <c r="K370" s="1381"/>
      <c r="L370" s="1601"/>
      <c r="M370" s="1303"/>
      <c r="N370" s="1304">
        <v>4384244</v>
      </c>
      <c r="O370" s="1336">
        <f t="shared" si="394"/>
        <v>4384244</v>
      </c>
      <c r="P370" s="1601"/>
      <c r="Q370" s="1303"/>
      <c r="R370" s="1304"/>
      <c r="S370" s="1336"/>
      <c r="T370" s="1601"/>
      <c r="U370" s="1303"/>
      <c r="V370" s="1304"/>
      <c r="W370" s="1336">
        <f t="shared" si="395"/>
        <v>0</v>
      </c>
      <c r="X370" s="1578">
        <f t="shared" si="356"/>
        <v>0</v>
      </c>
      <c r="Y370" s="2457"/>
      <c r="Z370" s="1136"/>
      <c r="AA370" s="1136"/>
      <c r="AB370" s="1293">
        <f t="shared" si="349"/>
        <v>0</v>
      </c>
      <c r="AC370" s="1293">
        <f t="shared" si="354"/>
        <v>0</v>
      </c>
      <c r="AD370" s="1293">
        <f t="shared" si="357"/>
        <v>-4384244</v>
      </c>
      <c r="AE370" s="1293">
        <f t="shared" si="350"/>
        <v>0</v>
      </c>
      <c r="AF370" s="1294"/>
      <c r="AG370" s="1294"/>
      <c r="AH370" s="1294">
        <f t="shared" si="355"/>
        <v>0</v>
      </c>
      <c r="AI370" s="1294">
        <f t="shared" si="379"/>
        <v>0</v>
      </c>
      <c r="AJ370" s="1293">
        <f t="shared" si="358"/>
        <v>0</v>
      </c>
      <c r="AK370" s="1294">
        <f t="shared" si="375"/>
        <v>0</v>
      </c>
      <c r="AL370" s="1294">
        <f t="shared" si="396"/>
        <v>0</v>
      </c>
      <c r="AM370" s="1294"/>
      <c r="AN370" s="1294"/>
      <c r="AO370" s="1294"/>
      <c r="AP370" s="1294"/>
      <c r="AQ370" s="1294"/>
      <c r="AR370" s="1294">
        <f t="shared" si="385"/>
        <v>0</v>
      </c>
      <c r="AS370" s="1136"/>
      <c r="AT370" s="668" t="e">
        <f>T374+U374+V374-#REF!</f>
        <v>#REF!</v>
      </c>
      <c r="AU370" s="463"/>
      <c r="AV370" s="468" t="e">
        <f>T374+U374+V374-#REF!</f>
        <v>#REF!</v>
      </c>
      <c r="AW370" s="468" t="e">
        <f>#REF!-AV370</f>
        <v>#REF!</v>
      </c>
      <c r="AX370" s="463">
        <f>'[2]PRIH REBALANS'!$AJ$902+'[2]PRIH REBALANS'!$AJ$909</f>
        <v>4384244</v>
      </c>
      <c r="AY370" s="463"/>
      <c r="AZ370" s="463"/>
      <c r="BA370" s="463"/>
      <c r="BB370" s="463"/>
      <c r="BC370" s="437">
        <f>'[2]PRIH REBALANS'!$AJ$902+'[2]PRIH REBALANS'!$AJ$909</f>
        <v>4384244</v>
      </c>
      <c r="BD370" s="437"/>
      <c r="BF370" s="437"/>
    </row>
    <row r="371" spans="1:59" ht="84.75" customHeight="1">
      <c r="A371" s="1674"/>
      <c r="B371" s="1377"/>
      <c r="C371" s="1377"/>
      <c r="D371" s="1378" t="s">
        <v>1604</v>
      </c>
      <c r="E371" s="1673"/>
      <c r="F371" s="1810" t="s">
        <v>510</v>
      </c>
      <c r="G371" s="1835" t="s">
        <v>1472</v>
      </c>
      <c r="H371" s="1380"/>
      <c r="I371" s="1380"/>
      <c r="J371" s="1380"/>
      <c r="K371" s="1381"/>
      <c r="L371" s="1601"/>
      <c r="M371" s="1303">
        <v>34064</v>
      </c>
      <c r="N371" s="1304">
        <v>2321138</v>
      </c>
      <c r="O371" s="1336">
        <f t="shared" si="394"/>
        <v>2355202</v>
      </c>
      <c r="P371" s="1601"/>
      <c r="Q371" s="1303"/>
      <c r="R371" s="1304"/>
      <c r="S371" s="1336"/>
      <c r="T371" s="1601"/>
      <c r="U371" s="1303"/>
      <c r="V371" s="1304"/>
      <c r="W371" s="1336">
        <f t="shared" si="395"/>
        <v>0</v>
      </c>
      <c r="X371" s="1578">
        <f t="shared" si="356"/>
        <v>0</v>
      </c>
      <c r="Y371" s="2457"/>
      <c r="Z371" s="1136"/>
      <c r="AA371" s="1136"/>
      <c r="AB371" s="1293">
        <f t="shared" si="349"/>
        <v>0</v>
      </c>
      <c r="AC371" s="1293">
        <f t="shared" si="354"/>
        <v>0</v>
      </c>
      <c r="AD371" s="1293">
        <f t="shared" si="357"/>
        <v>-2355202</v>
      </c>
      <c r="AE371" s="1293">
        <f t="shared" si="350"/>
        <v>0</v>
      </c>
      <c r="AF371" s="1294"/>
      <c r="AG371" s="1294"/>
      <c r="AH371" s="1294">
        <f t="shared" si="355"/>
        <v>0</v>
      </c>
      <c r="AI371" s="1294">
        <f t="shared" si="379"/>
        <v>0</v>
      </c>
      <c r="AJ371" s="1293">
        <f t="shared" si="358"/>
        <v>0</v>
      </c>
      <c r="AK371" s="1294">
        <f t="shared" si="375"/>
        <v>0</v>
      </c>
      <c r="AL371" s="1294">
        <f t="shared" si="396"/>
        <v>0</v>
      </c>
      <c r="AM371" s="1294"/>
      <c r="AN371" s="1294"/>
      <c r="AO371" s="1294"/>
      <c r="AP371" s="1294"/>
      <c r="AQ371" s="1294"/>
      <c r="AR371" s="1294">
        <f t="shared" si="385"/>
        <v>0</v>
      </c>
      <c r="AS371" s="1136"/>
      <c r="AT371" s="668" t="e">
        <f>#REF!+#REF!+#REF!-#REF!</f>
        <v>#REF!</v>
      </c>
      <c r="AU371" s="463"/>
      <c r="AV371" s="468" t="e">
        <f>#REF!+#REF!+#REF!-#REF!</f>
        <v>#REF!</v>
      </c>
      <c r="AW371" s="468" t="e">
        <f>#REF!-AV371</f>
        <v>#REF!</v>
      </c>
      <c r="AX371" s="463"/>
      <c r="AY371" s="463"/>
      <c r="AZ371" s="463"/>
      <c r="BA371" s="463"/>
      <c r="BB371" s="463"/>
      <c r="BC371" s="437">
        <f>'[2]PRIH REBALANS'!$AI$909+'[2]PRIH REBALANS'!$AI$908+'[2]PRIH REBALANS'!$AI$903+'[2]PRIH REBALANS'!$AI$918+'[2]PRIH REBALANS'!$AI$919</f>
        <v>2321138</v>
      </c>
      <c r="BD371" s="437" t="e">
        <f>BC371-#REF!</f>
        <v>#REF!</v>
      </c>
      <c r="BE371">
        <f t="shared" ref="BE371:BE400" si="397">W376/O372*100</f>
        <v>7496.2433333333338</v>
      </c>
      <c r="BF371" s="437">
        <f t="shared" ref="BF371:BF400" si="398">BE371-X377</f>
        <v>7496.2433333333338</v>
      </c>
    </row>
    <row r="372" spans="1:59" ht="84.75" customHeight="1">
      <c r="A372" s="1376"/>
      <c r="B372" s="1377"/>
      <c r="C372" s="1377"/>
      <c r="D372" s="1378"/>
      <c r="E372" s="1673"/>
      <c r="F372" s="1810" t="s">
        <v>195</v>
      </c>
      <c r="G372" s="1835" t="s">
        <v>732</v>
      </c>
      <c r="H372" s="1380"/>
      <c r="I372" s="1380">
        <v>982000</v>
      </c>
      <c r="J372" s="1380"/>
      <c r="K372" s="1381"/>
      <c r="L372" s="1601"/>
      <c r="M372" s="1303">
        <v>210000</v>
      </c>
      <c r="N372" s="1304"/>
      <c r="O372" s="1336">
        <f t="shared" si="394"/>
        <v>210000</v>
      </c>
      <c r="P372" s="1601"/>
      <c r="Q372" s="1303"/>
      <c r="R372" s="1304"/>
      <c r="S372" s="1336"/>
      <c r="T372" s="1601"/>
      <c r="U372" s="1303">
        <v>180000</v>
      </c>
      <c r="V372" s="1304"/>
      <c r="W372" s="1336">
        <f t="shared" si="395"/>
        <v>180000</v>
      </c>
      <c r="X372" s="1578">
        <f t="shared" si="356"/>
        <v>85.714285714285708</v>
      </c>
      <c r="Y372" s="2457"/>
      <c r="Z372" s="1136"/>
      <c r="AA372" s="1136"/>
      <c r="AB372" s="1293">
        <f t="shared" si="349"/>
        <v>0</v>
      </c>
      <c r="AC372" s="1293">
        <f t="shared" si="354"/>
        <v>0</v>
      </c>
      <c r="AD372" s="1293">
        <f t="shared" si="357"/>
        <v>-30000</v>
      </c>
      <c r="AE372" s="1293">
        <f t="shared" si="350"/>
        <v>0</v>
      </c>
      <c r="AF372" s="1294"/>
      <c r="AG372" s="1294"/>
      <c r="AH372" s="1294">
        <f t="shared" si="355"/>
        <v>0</v>
      </c>
      <c r="AI372" s="1294">
        <f t="shared" si="379"/>
        <v>0</v>
      </c>
      <c r="AJ372" s="1293">
        <f t="shared" si="358"/>
        <v>0</v>
      </c>
      <c r="AK372" s="1294">
        <f t="shared" si="375"/>
        <v>0</v>
      </c>
      <c r="AL372" s="1294">
        <f t="shared" si="396"/>
        <v>0</v>
      </c>
      <c r="AM372" s="1294"/>
      <c r="AN372" s="1294"/>
      <c r="AO372" s="1294"/>
      <c r="AP372" s="1294"/>
      <c r="AQ372" s="1294"/>
      <c r="AR372" s="1294">
        <f t="shared" si="385"/>
        <v>0</v>
      </c>
      <c r="AS372" s="1136"/>
      <c r="AT372" s="668" t="e">
        <f>#REF!+#REF!+#REF!-W376</f>
        <v>#REF!</v>
      </c>
      <c r="AU372" s="463"/>
      <c r="AV372" s="468" t="e">
        <f>#REF!+#REF!+#REF!-W376</f>
        <v>#REF!</v>
      </c>
      <c r="AW372" s="468" t="e">
        <f t="shared" ref="AW372:AW403" si="399">W376-AV372</f>
        <v>#REF!</v>
      </c>
      <c r="AX372" s="463"/>
      <c r="AY372" s="463"/>
      <c r="AZ372" s="463"/>
      <c r="BA372" s="463"/>
      <c r="BB372" s="463"/>
      <c r="BC372" s="437">
        <f>'[2]PRIH REBALANS'!$AH$912+'[2]PRIH REBALANS'!$AH$914</f>
        <v>210000</v>
      </c>
      <c r="BD372" s="437"/>
      <c r="BE372">
        <f t="shared" si="397"/>
        <v>0</v>
      </c>
      <c r="BF372" s="437">
        <f t="shared" si="398"/>
        <v>-100.42208830979756</v>
      </c>
    </row>
    <row r="373" spans="1:59" ht="84.75" customHeight="1">
      <c r="A373" s="1376"/>
      <c r="B373" s="1377"/>
      <c r="C373" s="1377"/>
      <c r="D373" s="1378"/>
      <c r="E373" s="1673"/>
      <c r="F373" s="1810"/>
      <c r="G373" s="1835" t="s">
        <v>733</v>
      </c>
      <c r="H373" s="1380"/>
      <c r="I373" s="1380">
        <v>300000</v>
      </c>
      <c r="J373" s="1380"/>
      <c r="K373" s="1381"/>
      <c r="L373" s="1601"/>
      <c r="M373" s="1303">
        <v>1005244</v>
      </c>
      <c r="N373" s="1304"/>
      <c r="O373" s="1336">
        <f t="shared" si="394"/>
        <v>1005244</v>
      </c>
      <c r="P373" s="1601"/>
      <c r="Q373" s="1303"/>
      <c r="R373" s="1304"/>
      <c r="S373" s="1336">
        <f>SUM(Q373)</f>
        <v>0</v>
      </c>
      <c r="T373" s="1601"/>
      <c r="U373" s="1303"/>
      <c r="V373" s="1304"/>
      <c r="W373" s="1336">
        <f t="shared" si="395"/>
        <v>0</v>
      </c>
      <c r="X373" s="1578">
        <f t="shared" si="356"/>
        <v>0</v>
      </c>
      <c r="Y373" s="2457"/>
      <c r="Z373" s="1136"/>
      <c r="AA373" s="1136"/>
      <c r="AB373" s="1293">
        <f t="shared" si="349"/>
        <v>0</v>
      </c>
      <c r="AC373" s="1293">
        <f t="shared" si="354"/>
        <v>0</v>
      </c>
      <c r="AD373" s="1293">
        <f t="shared" si="357"/>
        <v>-1005244</v>
      </c>
      <c r="AE373" s="1293">
        <f t="shared" si="350"/>
        <v>0</v>
      </c>
      <c r="AF373" s="1294"/>
      <c r="AG373" s="1294"/>
      <c r="AH373" s="1294">
        <f t="shared" si="355"/>
        <v>0</v>
      </c>
      <c r="AI373" s="1294">
        <f t="shared" si="379"/>
        <v>0</v>
      </c>
      <c r="AJ373" s="1293">
        <f t="shared" si="358"/>
        <v>0</v>
      </c>
      <c r="AK373" s="1294">
        <f t="shared" si="375"/>
        <v>0</v>
      </c>
      <c r="AL373" s="1294">
        <f t="shared" si="396"/>
        <v>0</v>
      </c>
      <c r="AM373" s="1294"/>
      <c r="AN373" s="1294"/>
      <c r="AO373" s="1294"/>
      <c r="AP373" s="1294"/>
      <c r="AQ373" s="1294"/>
      <c r="AR373" s="1294">
        <f t="shared" si="385"/>
        <v>0</v>
      </c>
      <c r="AS373" s="1136"/>
      <c r="AT373" s="668">
        <f t="shared" ref="AT373:AT404" si="400">T376+U376+V376-W377</f>
        <v>15742111</v>
      </c>
      <c r="AU373" s="463"/>
      <c r="AV373" s="468">
        <f t="shared" ref="AV373:AV404" si="401">T376+U376+V376-W377</f>
        <v>15742111</v>
      </c>
      <c r="AW373" s="468">
        <f t="shared" si="399"/>
        <v>-15742111</v>
      </c>
      <c r="AX373" s="463"/>
      <c r="AY373" s="463"/>
      <c r="AZ373" s="463"/>
      <c r="BA373" s="463"/>
      <c r="BB373" s="463"/>
      <c r="BC373" s="437">
        <f>'[2]PRIH REBALANS'!$AI$916</f>
        <v>615633</v>
      </c>
      <c r="BD373" s="437"/>
      <c r="BE373">
        <f t="shared" si="397"/>
        <v>3041.1111111111113</v>
      </c>
      <c r="BF373" s="437">
        <f t="shared" si="398"/>
        <v>2941.073461637704</v>
      </c>
    </row>
    <row r="374" spans="1:59" ht="39" customHeight="1">
      <c r="A374" s="1594" t="s">
        <v>595</v>
      </c>
      <c r="B374" s="1595"/>
      <c r="C374" s="1595"/>
      <c r="D374" s="1596"/>
      <c r="E374" s="1596"/>
      <c r="F374" s="1819" t="s">
        <v>195</v>
      </c>
      <c r="G374" s="1863" t="s">
        <v>493</v>
      </c>
      <c r="H374" s="1619">
        <f>H375</f>
        <v>50000</v>
      </c>
      <c r="I374" s="1619">
        <f>I375</f>
        <v>0</v>
      </c>
      <c r="J374" s="1619">
        <f>J375</f>
        <v>0</v>
      </c>
      <c r="K374" s="1585"/>
      <c r="L374" s="1620">
        <f>L375</f>
        <v>90000</v>
      </c>
      <c r="M374" s="1313">
        <f>M375</f>
        <v>0</v>
      </c>
      <c r="N374" s="1314">
        <f>N375</f>
        <v>0</v>
      </c>
      <c r="O374" s="1335">
        <f>SUM(O375)</f>
        <v>90000</v>
      </c>
      <c r="P374" s="1620">
        <f>SUM(P375)</f>
        <v>60000</v>
      </c>
      <c r="Q374" s="1313"/>
      <c r="R374" s="1314"/>
      <c r="S374" s="1335">
        <f>S375</f>
        <v>60000</v>
      </c>
      <c r="T374" s="1620">
        <f>SUM(T375)</f>
        <v>60000</v>
      </c>
      <c r="U374" s="1313"/>
      <c r="V374" s="1314"/>
      <c r="W374" s="1315">
        <f>W375</f>
        <v>60000</v>
      </c>
      <c r="X374" s="1598">
        <f t="shared" si="356"/>
        <v>66.666666666666657</v>
      </c>
      <c r="Y374" s="758">
        <f>'[1]PRIH REBALANS'!$AK$906</f>
        <v>60000</v>
      </c>
      <c r="Z374" s="1135"/>
      <c r="AA374" s="1136">
        <f>'[9]PRIH REBALANS'!$AK$906</f>
        <v>60000</v>
      </c>
      <c r="AB374" s="1293">
        <f t="shared" si="349"/>
        <v>0</v>
      </c>
      <c r="AC374" s="1293">
        <f t="shared" si="354"/>
        <v>0</v>
      </c>
      <c r="AD374" s="1293">
        <f t="shared" si="357"/>
        <v>-30000</v>
      </c>
      <c r="AE374" s="1293">
        <f t="shared" si="350"/>
        <v>0</v>
      </c>
      <c r="AF374" s="1294"/>
      <c r="AG374" s="1294"/>
      <c r="AH374" s="1294">
        <f t="shared" si="355"/>
        <v>-30000</v>
      </c>
      <c r="AI374" s="1294">
        <f t="shared" si="379"/>
        <v>0</v>
      </c>
      <c r="AJ374" s="1293">
        <f t="shared" si="358"/>
        <v>0</v>
      </c>
      <c r="AK374" s="1294">
        <f t="shared" si="375"/>
        <v>0</v>
      </c>
      <c r="AL374" s="1294">
        <f t="shared" si="396"/>
        <v>0</v>
      </c>
      <c r="AM374" s="1294"/>
      <c r="AN374" s="1294"/>
      <c r="AO374" s="1294"/>
      <c r="AP374" s="1294"/>
      <c r="AQ374" s="1294"/>
      <c r="AR374" s="1294" t="e">
        <f>#REF!+#REF!+#REF!-#REF!</f>
        <v>#REF!</v>
      </c>
      <c r="AS374" s="1135">
        <f>SUM(W379)</f>
        <v>2402000</v>
      </c>
      <c r="AT374" s="668">
        <f t="shared" si="400"/>
        <v>-2737000</v>
      </c>
      <c r="AU374" s="668">
        <f>W379</f>
        <v>2402000</v>
      </c>
      <c r="AV374" s="468">
        <f t="shared" si="401"/>
        <v>-2737000</v>
      </c>
      <c r="AW374" s="468">
        <f t="shared" si="399"/>
        <v>5474000</v>
      </c>
      <c r="AX374" s="668"/>
      <c r="AY374" s="668"/>
      <c r="AZ374" s="668"/>
      <c r="BA374" s="668"/>
      <c r="BB374" s="668"/>
      <c r="BC374" s="437">
        <f>T377+U377+V377+-W378</f>
        <v>-2737000</v>
      </c>
      <c r="BD374" s="437"/>
      <c r="BE374">
        <f t="shared" si="397"/>
        <v>2668.8888888888891</v>
      </c>
      <c r="BF374" s="437">
        <f t="shared" si="398"/>
        <v>2568.8888888888891</v>
      </c>
      <c r="BG374" s="209">
        <f>W379</f>
        <v>2402000</v>
      </c>
    </row>
    <row r="375" spans="1:59" ht="39" customHeight="1">
      <c r="A375" s="1376"/>
      <c r="B375" s="1573"/>
      <c r="C375" s="1573"/>
      <c r="D375" s="1373">
        <v>111</v>
      </c>
      <c r="E375" s="1373" t="s">
        <v>206</v>
      </c>
      <c r="F375" s="1821" t="s">
        <v>195</v>
      </c>
      <c r="G375" s="1869" t="s">
        <v>734</v>
      </c>
      <c r="H375" s="1675">
        <v>50000</v>
      </c>
      <c r="I375" s="1675"/>
      <c r="J375" s="1675"/>
      <c r="K375" s="1676">
        <f>H375</f>
        <v>50000</v>
      </c>
      <c r="L375" s="1577">
        <v>90000</v>
      </c>
      <c r="M375" s="1301"/>
      <c r="N375" s="1302"/>
      <c r="O375" s="1375">
        <f>SUM(L375)</f>
        <v>90000</v>
      </c>
      <c r="P375" s="1577">
        <v>60000</v>
      </c>
      <c r="Q375" s="1303"/>
      <c r="R375" s="1304"/>
      <c r="S375" s="1375">
        <f>SUM(P375)</f>
        <v>60000</v>
      </c>
      <c r="T375" s="1610">
        <v>60000</v>
      </c>
      <c r="U375" s="1303"/>
      <c r="V375" s="1304"/>
      <c r="W375" s="1375">
        <f>SUM(T375)</f>
        <v>60000</v>
      </c>
      <c r="X375" s="1578">
        <f t="shared" si="356"/>
        <v>66.666666666666657</v>
      </c>
      <c r="Y375" s="2457"/>
      <c r="Z375" s="1136"/>
      <c r="AA375" s="1136"/>
      <c r="AB375" s="1293">
        <f t="shared" si="349"/>
        <v>0</v>
      </c>
      <c r="AC375" s="1293">
        <f t="shared" si="354"/>
        <v>0</v>
      </c>
      <c r="AD375" s="1293">
        <f t="shared" si="357"/>
        <v>-30000</v>
      </c>
      <c r="AE375" s="1293">
        <f t="shared" si="350"/>
        <v>0</v>
      </c>
      <c r="AF375" s="1294"/>
      <c r="AG375" s="1294"/>
      <c r="AH375" s="1294">
        <f t="shared" si="355"/>
        <v>-30000</v>
      </c>
      <c r="AI375" s="1294">
        <f t="shared" si="379"/>
        <v>0</v>
      </c>
      <c r="AJ375" s="1293">
        <f t="shared" si="358"/>
        <v>0</v>
      </c>
      <c r="AK375" s="1294">
        <f t="shared" si="375"/>
        <v>0</v>
      </c>
      <c r="AL375" s="1294">
        <f t="shared" si="396"/>
        <v>0</v>
      </c>
      <c r="AM375" s="1294"/>
      <c r="AN375" s="1294"/>
      <c r="AO375" s="1294"/>
      <c r="AP375" s="1294"/>
      <c r="AQ375" s="1294"/>
      <c r="AR375" s="1294" t="e">
        <f>#REF!+#REF!+#REF!-#REF!</f>
        <v>#REF!</v>
      </c>
      <c r="AS375" s="1136"/>
      <c r="AT375" s="668">
        <f t="shared" si="400"/>
        <v>335000</v>
      </c>
      <c r="AU375" s="463"/>
      <c r="AV375" s="468">
        <f t="shared" si="401"/>
        <v>335000</v>
      </c>
      <c r="AW375" s="468">
        <f t="shared" si="399"/>
        <v>2067000</v>
      </c>
      <c r="AX375" s="272"/>
      <c r="AY375" s="272"/>
      <c r="AZ375" s="272"/>
      <c r="BA375" s="272"/>
      <c r="BB375" s="272"/>
      <c r="BC375" s="437">
        <f>T378+U378+V378+-W379</f>
        <v>335000</v>
      </c>
      <c r="BD375" s="437"/>
      <c r="BE375">
        <f t="shared" si="397"/>
        <v>12.304020378166888</v>
      </c>
      <c r="BF375" s="437">
        <f t="shared" si="398"/>
        <v>-87.695979621833118</v>
      </c>
    </row>
    <row r="376" spans="1:59" ht="63.75" customHeight="1">
      <c r="A376" s="1661" t="s">
        <v>494</v>
      </c>
      <c r="B376" s="1618"/>
      <c r="C376" s="1618"/>
      <c r="D376" s="1596" t="s">
        <v>319</v>
      </c>
      <c r="E376" s="1596" t="s">
        <v>206</v>
      </c>
      <c r="F376" s="1811"/>
      <c r="G376" s="1687" t="s">
        <v>495</v>
      </c>
      <c r="H376" s="1619" t="e">
        <f>SUM(H378,H400,#REF!,H426,H429)</f>
        <v>#REF!</v>
      </c>
      <c r="I376" s="1619" t="e">
        <f>SUM(I378,I400,#REF!,I426,I429)</f>
        <v>#REF!</v>
      </c>
      <c r="J376" s="1619" t="e">
        <f>SUM(J400,#REF!)</f>
        <v>#REF!</v>
      </c>
      <c r="K376" s="1585" t="e">
        <f>SUM(K378,K400,#REF!,K430,K435)</f>
        <v>#REF!</v>
      </c>
      <c r="L376" s="1620">
        <f>L378+L400+L426+L429+L409</f>
        <v>12163061</v>
      </c>
      <c r="M376" s="1313">
        <f>SUM(M378,L430,M435,M409)</f>
        <v>4099837</v>
      </c>
      <c r="N376" s="1314">
        <f>SUM(N378,N409,N429,N400)</f>
        <v>1454888</v>
      </c>
      <c r="O376" s="1335">
        <f>O378+O400+O426+O429+O409</f>
        <v>17717786</v>
      </c>
      <c r="P376" s="1620">
        <f t="shared" ref="P376:W376" si="402">SUM(P378+P400+P409+P426+P429)</f>
        <v>11365000</v>
      </c>
      <c r="Q376" s="1313">
        <f t="shared" si="402"/>
        <v>2800000</v>
      </c>
      <c r="R376" s="1314">
        <f t="shared" si="402"/>
        <v>1761609</v>
      </c>
      <c r="S376" s="1335">
        <f t="shared" si="402"/>
        <v>15476609</v>
      </c>
      <c r="T376" s="1620">
        <f>SUM(T378+T400+T409+T426+T429)</f>
        <v>11789800</v>
      </c>
      <c r="U376" s="1313">
        <f t="shared" si="402"/>
        <v>2725000</v>
      </c>
      <c r="V376" s="1314">
        <f t="shared" si="402"/>
        <v>1227311</v>
      </c>
      <c r="W376" s="1315">
        <f t="shared" si="402"/>
        <v>15742111</v>
      </c>
      <c r="X376" s="1598">
        <f t="shared" si="356"/>
        <v>88.849199329984003</v>
      </c>
      <c r="Y376" s="758">
        <f>'[1]PRIH REBALANS'!$AK$908</f>
        <v>15742111</v>
      </c>
      <c r="Z376" s="1135"/>
      <c r="AA376" s="1135">
        <f>'[9]PRIH REBALANS'!$AK$908</f>
        <v>15742111</v>
      </c>
      <c r="AB376" s="1293">
        <f t="shared" si="349"/>
        <v>0</v>
      </c>
      <c r="AC376" s="1293">
        <f t="shared" si="354"/>
        <v>0</v>
      </c>
      <c r="AD376" s="1293">
        <f t="shared" si="357"/>
        <v>-1975675</v>
      </c>
      <c r="AE376" s="1293">
        <f t="shared" si="350"/>
        <v>0</v>
      </c>
      <c r="AF376" s="1293"/>
      <c r="AG376" s="1293"/>
      <c r="AH376" s="1294">
        <f t="shared" si="355"/>
        <v>-373261</v>
      </c>
      <c r="AI376" s="1294">
        <f>'[8]PRIH REBALANS'!$AK$908</f>
        <v>17325451</v>
      </c>
      <c r="AJ376" s="1293">
        <f t="shared" si="358"/>
        <v>0</v>
      </c>
      <c r="AK376" s="1294"/>
      <c r="AL376" s="1294">
        <f t="shared" si="396"/>
        <v>0</v>
      </c>
      <c r="AM376" s="1294"/>
      <c r="AN376" s="1294"/>
      <c r="AO376" s="1294"/>
      <c r="AP376" s="1294"/>
      <c r="AQ376" s="1294">
        <f>SUM(AQ380:AQ389,AQ400,AQ409,AQ426,AQ429)</f>
        <v>16072611</v>
      </c>
      <c r="AR376" s="1294">
        <f t="shared" ref="AR376:AR407" si="403">T376+U376+V376-W376</f>
        <v>0</v>
      </c>
      <c r="AS376" s="1135" t="e">
        <f>SUM(AS380+AS383+AS387+AS389+AS400+AS409+AS426+AS429)</f>
        <v>#REF!</v>
      </c>
      <c r="AT376" s="668">
        <f t="shared" si="400"/>
        <v>222000</v>
      </c>
      <c r="AU376" s="668">
        <f>SUM(AU380,AU383,AU387,AU389,AU400,AU409,AU426,AU429)</f>
        <v>10849289.210000001</v>
      </c>
      <c r="AV376" s="468">
        <f t="shared" si="401"/>
        <v>222000</v>
      </c>
      <c r="AW376" s="468">
        <f t="shared" si="399"/>
        <v>1958000</v>
      </c>
      <c r="AX376" s="668"/>
      <c r="AY376" s="668"/>
      <c r="AZ376" s="668"/>
      <c r="BA376" s="668"/>
      <c r="BB376" s="668"/>
      <c r="BC376" s="456">
        <f>'[2]PRIH REBALANS'!$AK$922</f>
        <v>17621786</v>
      </c>
      <c r="BD376" s="456"/>
      <c r="BE376" t="e">
        <f t="shared" si="397"/>
        <v>#DIV/0!</v>
      </c>
      <c r="BF376" s="437" t="e">
        <f t="shared" si="398"/>
        <v>#DIV/0!</v>
      </c>
      <c r="BG376" s="457">
        <f>SUM(BG380:BG389,W404,W413,W430,W431)</f>
        <v>4614000</v>
      </c>
    </row>
    <row r="377" spans="1:59" ht="39" customHeight="1">
      <c r="A377" s="1661"/>
      <c r="B377" s="1618"/>
      <c r="C377" s="1618"/>
      <c r="D377" s="1596" t="s">
        <v>319</v>
      </c>
      <c r="E377" s="1596"/>
      <c r="F377" s="1811"/>
      <c r="G377" s="1834" t="s">
        <v>245</v>
      </c>
      <c r="H377" s="1619" t="s">
        <v>496</v>
      </c>
      <c r="I377" s="1619"/>
      <c r="J377" s="1619"/>
      <c r="K377" s="1585" t="s">
        <v>496</v>
      </c>
      <c r="L377" s="1620"/>
      <c r="M377" s="1313"/>
      <c r="N377" s="1314"/>
      <c r="O377" s="1335"/>
      <c r="P377" s="1620"/>
      <c r="Q377" s="1313"/>
      <c r="R377" s="1314"/>
      <c r="S377" s="1335"/>
      <c r="T377" s="1620"/>
      <c r="U377" s="1313">
        <f>U378</f>
        <v>0</v>
      </c>
      <c r="V377" s="1314">
        <f>V378</f>
        <v>0</v>
      </c>
      <c r="W377" s="1335"/>
      <c r="X377" s="1598"/>
      <c r="Y377" s="758"/>
      <c r="Z377" s="1135"/>
      <c r="AA377" s="1135"/>
      <c r="AB377" s="1293">
        <f t="shared" si="349"/>
        <v>0</v>
      </c>
      <c r="AC377" s="1293">
        <f t="shared" si="354"/>
        <v>0</v>
      </c>
      <c r="AD377" s="1293">
        <f t="shared" si="357"/>
        <v>0</v>
      </c>
      <c r="AE377" s="1293">
        <f t="shared" si="350"/>
        <v>0</v>
      </c>
      <c r="AF377" s="1293"/>
      <c r="AG377" s="1293"/>
      <c r="AH377" s="1294">
        <f t="shared" si="355"/>
        <v>0</v>
      </c>
      <c r="AI377" s="1294">
        <f>T377+U377+V377-W377</f>
        <v>0</v>
      </c>
      <c r="AJ377" s="1293">
        <f t="shared" si="358"/>
        <v>0</v>
      </c>
      <c r="AK377" s="1294"/>
      <c r="AL377" s="1294">
        <f t="shared" si="396"/>
        <v>0</v>
      </c>
      <c r="AM377" s="1294"/>
      <c r="AN377" s="1294"/>
      <c r="AO377" s="1294"/>
      <c r="AP377" s="1294"/>
      <c r="AQ377" s="1294"/>
      <c r="AR377" s="1294">
        <f t="shared" si="403"/>
        <v>0</v>
      </c>
      <c r="AS377" s="1135"/>
      <c r="AT377" s="668">
        <f t="shared" si="400"/>
        <v>680000</v>
      </c>
      <c r="AU377" s="668"/>
      <c r="AV377" s="468">
        <f t="shared" si="401"/>
        <v>680000</v>
      </c>
      <c r="AW377" s="468">
        <f t="shared" si="399"/>
        <v>820000</v>
      </c>
      <c r="AX377" s="668"/>
      <c r="AY377" s="668"/>
      <c r="AZ377" s="668"/>
      <c r="BA377" s="668"/>
      <c r="BB377" s="668"/>
      <c r="BC377" s="437">
        <f>T380+U380+V380+-W381</f>
        <v>680000</v>
      </c>
      <c r="BD377" s="437"/>
      <c r="BE377">
        <f t="shared" si="397"/>
        <v>24.94958715771368</v>
      </c>
      <c r="BF377" s="437">
        <f t="shared" si="398"/>
        <v>-75.45928500641412</v>
      </c>
    </row>
    <row r="378" spans="1:59" ht="39" customHeight="1">
      <c r="A378" s="1572"/>
      <c r="B378" s="1377"/>
      <c r="C378" s="1377"/>
      <c r="D378" s="1373" t="s">
        <v>319</v>
      </c>
      <c r="E378" s="1373"/>
      <c r="F378" s="1795"/>
      <c r="G378" s="1835" t="s">
        <v>208</v>
      </c>
      <c r="H378" s="1380">
        <f t="shared" ref="H378:O378" si="404">SUM(H379,H387,H389,)</f>
        <v>2575500</v>
      </c>
      <c r="I378" s="1380">
        <f t="shared" si="404"/>
        <v>0</v>
      </c>
      <c r="J378" s="1380">
        <f t="shared" si="404"/>
        <v>0</v>
      </c>
      <c r="K378" s="1381" t="e">
        <f t="shared" si="404"/>
        <v>#REF!</v>
      </c>
      <c r="L378" s="1601">
        <f t="shared" si="404"/>
        <v>2725496</v>
      </c>
      <c r="M378" s="1303">
        <f t="shared" si="404"/>
        <v>0</v>
      </c>
      <c r="N378" s="1304">
        <f t="shared" si="404"/>
        <v>0</v>
      </c>
      <c r="O378" s="1336">
        <f t="shared" si="404"/>
        <v>2725496</v>
      </c>
      <c r="P378" s="1601">
        <f>SUM(P379+P387+P389)</f>
        <v>337000</v>
      </c>
      <c r="Q378" s="1303"/>
      <c r="R378" s="1304"/>
      <c r="S378" s="1336">
        <f>SUM(S379+S387+S389)</f>
        <v>337000</v>
      </c>
      <c r="T378" s="1601">
        <f>SUM(T379+T387+T389)</f>
        <v>2737000</v>
      </c>
      <c r="U378" s="1303"/>
      <c r="V378" s="1304"/>
      <c r="W378" s="1316">
        <f>SUM(W379+W387+W389)</f>
        <v>2737000</v>
      </c>
      <c r="X378" s="1578">
        <f t="shared" si="356"/>
        <v>100.42208830979756</v>
      </c>
      <c r="Y378" s="2457">
        <f>'[1]PRIH REBALANS'!$AK$910</f>
        <v>2737000</v>
      </c>
      <c r="Z378" s="1136"/>
      <c r="AA378" s="1136">
        <f>'[9]PRIH REBALANS'!$AK$910</f>
        <v>2737000</v>
      </c>
      <c r="AB378" s="1293">
        <f t="shared" si="349"/>
        <v>0</v>
      </c>
      <c r="AC378" s="1293">
        <f t="shared" si="354"/>
        <v>0</v>
      </c>
      <c r="AD378" s="1293">
        <f t="shared" si="357"/>
        <v>11504</v>
      </c>
      <c r="AE378" s="1293">
        <f t="shared" si="350"/>
        <v>0</v>
      </c>
      <c r="AF378" s="1294"/>
      <c r="AG378" s="1294"/>
      <c r="AH378" s="1294">
        <f t="shared" si="355"/>
        <v>11504</v>
      </c>
      <c r="AI378" s="1294">
        <f>'[8]PRIH REBALANS'!$AK$910</f>
        <v>2995340</v>
      </c>
      <c r="AJ378" s="1293">
        <f t="shared" si="358"/>
        <v>0</v>
      </c>
      <c r="AK378" s="1294"/>
      <c r="AL378" s="1294">
        <f t="shared" si="396"/>
        <v>0</v>
      </c>
      <c r="AM378" s="1294"/>
      <c r="AN378" s="1294"/>
      <c r="AO378" s="1294"/>
      <c r="AP378" s="1294"/>
      <c r="AQ378" s="1294"/>
      <c r="AR378" s="1294">
        <f t="shared" si="403"/>
        <v>0</v>
      </c>
      <c r="AS378" s="1136"/>
      <c r="AT378" s="668">
        <f t="shared" si="400"/>
        <v>820000</v>
      </c>
      <c r="AU378" s="463"/>
      <c r="AV378" s="468">
        <f t="shared" si="401"/>
        <v>820000</v>
      </c>
      <c r="AW378" s="468">
        <f t="shared" si="399"/>
        <v>-140000</v>
      </c>
      <c r="AX378" s="463"/>
      <c r="AY378" s="463"/>
      <c r="AZ378" s="463"/>
      <c r="BA378" s="463"/>
      <c r="BB378" s="463"/>
      <c r="BC378" s="437">
        <f>'[2]PRIH REBALANS'!$AK$924</f>
        <v>2725496</v>
      </c>
      <c r="BD378" s="437">
        <f>BC378-W382</f>
        <v>2045496</v>
      </c>
      <c r="BE378">
        <f t="shared" si="397"/>
        <v>9.2457777614889203</v>
      </c>
      <c r="BF378" s="437">
        <f t="shared" si="398"/>
        <v>-90.754222238511076</v>
      </c>
    </row>
    <row r="379" spans="1:59" ht="39" customHeight="1">
      <c r="A379" s="1572"/>
      <c r="B379" s="1573"/>
      <c r="C379" s="1573"/>
      <c r="D379" s="1373" t="s">
        <v>319</v>
      </c>
      <c r="E379" s="1373"/>
      <c r="F379" s="1795">
        <v>611000</v>
      </c>
      <c r="G379" s="1836" t="s">
        <v>718</v>
      </c>
      <c r="H379" s="1380">
        <f>SUM(H380,H383)</f>
        <v>2269500</v>
      </c>
      <c r="I379" s="1380">
        <f>SUM(I380:I381)</f>
        <v>0</v>
      </c>
      <c r="J379" s="1380">
        <f>SUM(J380:J381)</f>
        <v>0</v>
      </c>
      <c r="K379" s="1381">
        <f>SUM(K380,K383)</f>
        <v>2269500</v>
      </c>
      <c r="L379" s="1601">
        <f>SUM(L380,L383)</f>
        <v>2401096</v>
      </c>
      <c r="M379" s="1303">
        <f>SUM(M380:M381)</f>
        <v>0</v>
      </c>
      <c r="N379" s="1304">
        <f>SUM(N380:N381)</f>
        <v>0</v>
      </c>
      <c r="O379" s="1336">
        <f>SUM(O380,O383)</f>
        <v>2401096</v>
      </c>
      <c r="P379" s="1601">
        <f>SUM(P380+P383)</f>
        <v>0</v>
      </c>
      <c r="Q379" s="1303"/>
      <c r="R379" s="1304"/>
      <c r="S379" s="1336">
        <f>SUM(S380+S383)</f>
        <v>0</v>
      </c>
      <c r="T379" s="1601">
        <f>SUM(T380+T383)</f>
        <v>2402000</v>
      </c>
      <c r="U379" s="1303"/>
      <c r="V379" s="1304"/>
      <c r="W379" s="1316">
        <f>SUM(W380+W383)</f>
        <v>2402000</v>
      </c>
      <c r="X379" s="1578">
        <f t="shared" si="356"/>
        <v>100.03764947340714</v>
      </c>
      <c r="Y379" s="2457">
        <f>'[1]PRIH REBALANS'!$AK$911</f>
        <v>2402000</v>
      </c>
      <c r="Z379" s="1136"/>
      <c r="AA379" s="1136"/>
      <c r="AB379" s="1293">
        <f t="shared" si="349"/>
        <v>0</v>
      </c>
      <c r="AC379" s="1293">
        <f t="shared" si="354"/>
        <v>0</v>
      </c>
      <c r="AD379" s="1293">
        <f t="shared" si="357"/>
        <v>904</v>
      </c>
      <c r="AE379" s="1293">
        <f t="shared" si="350"/>
        <v>0</v>
      </c>
      <c r="AF379" s="1294"/>
      <c r="AG379" s="1294"/>
      <c r="AH379" s="1294">
        <f t="shared" si="355"/>
        <v>904</v>
      </c>
      <c r="AI379" s="1294">
        <f>T379+U379+V379-W379</f>
        <v>0</v>
      </c>
      <c r="AJ379" s="1293">
        <f t="shared" si="358"/>
        <v>0</v>
      </c>
      <c r="AK379" s="1294"/>
      <c r="AL379" s="1294">
        <f t="shared" si="396"/>
        <v>0</v>
      </c>
      <c r="AM379" s="1294"/>
      <c r="AN379" s="1294"/>
      <c r="AO379" s="1294"/>
      <c r="AP379" s="1294"/>
      <c r="AQ379" s="1294"/>
      <c r="AR379" s="1294">
        <f t="shared" si="403"/>
        <v>0</v>
      </c>
      <c r="AS379" s="1136"/>
      <c r="AT379" s="668">
        <f t="shared" si="400"/>
        <v>458000</v>
      </c>
      <c r="AU379" s="463"/>
      <c r="AV379" s="468">
        <f t="shared" si="401"/>
        <v>458000</v>
      </c>
      <c r="AW379" s="468">
        <f t="shared" si="399"/>
        <v>-236000</v>
      </c>
      <c r="AX379" s="272"/>
      <c r="AY379" s="272"/>
      <c r="AZ379" s="272"/>
      <c r="BA379" s="272"/>
      <c r="BB379" s="272"/>
      <c r="BC379" s="437">
        <f>T382+U382+V382+-W383</f>
        <v>458000</v>
      </c>
      <c r="BD379" s="437"/>
      <c r="BE379">
        <f t="shared" si="397"/>
        <v>1.1467889908256881</v>
      </c>
      <c r="BF379" s="437">
        <f t="shared" si="398"/>
        <v>-98.853211009174316</v>
      </c>
    </row>
    <row r="380" spans="1:59" ht="39" customHeight="1">
      <c r="A380" s="1572"/>
      <c r="B380" s="1573"/>
      <c r="C380" s="1573"/>
      <c r="D380" s="1373" t="s">
        <v>319</v>
      </c>
      <c r="E380" s="1373" t="s">
        <v>206</v>
      </c>
      <c r="F380" s="1795" t="s">
        <v>166</v>
      </c>
      <c r="G380" s="1836" t="s">
        <v>674</v>
      </c>
      <c r="H380" s="1633">
        <f>SUM(H381:H382)</f>
        <v>2060000</v>
      </c>
      <c r="I380" s="1633">
        <f>SUM(I381:I382)</f>
        <v>0</v>
      </c>
      <c r="J380" s="1633">
        <f>SUM(J381:J382)</f>
        <v>0</v>
      </c>
      <c r="K380" s="1630">
        <f>SUM(K381:K382)</f>
        <v>2060000</v>
      </c>
      <c r="L380" s="1632">
        <f>SUM(L381:L382)</f>
        <v>2180000</v>
      </c>
      <c r="M380" s="1319">
        <f>SUM(M381:M382)</f>
        <v>0</v>
      </c>
      <c r="N380" s="1320">
        <f>SUM(N381:N382)</f>
        <v>0</v>
      </c>
      <c r="O380" s="1336">
        <f>SUM(O381:O382)</f>
        <v>2180000</v>
      </c>
      <c r="P380" s="1632">
        <f>SUM(P381:P382)</f>
        <v>0</v>
      </c>
      <c r="Q380" s="1319"/>
      <c r="R380" s="1320"/>
      <c r="S380" s="1336">
        <f>SUM(S381:S382)</f>
        <v>0</v>
      </c>
      <c r="T380" s="1632">
        <f>SUM(T381:T382)</f>
        <v>2180000</v>
      </c>
      <c r="U380" s="1319"/>
      <c r="V380" s="1320"/>
      <c r="W380" s="1316">
        <f>SUM(W381:W382)</f>
        <v>2180000</v>
      </c>
      <c r="X380" s="1578">
        <f t="shared" si="356"/>
        <v>100</v>
      </c>
      <c r="Y380" s="2457">
        <f>'[1]PRIH REBALANS'!$AK$912</f>
        <v>2180000</v>
      </c>
      <c r="Z380" s="1136"/>
      <c r="AA380" s="1136"/>
      <c r="AB380" s="1293">
        <f t="shared" si="349"/>
        <v>0</v>
      </c>
      <c r="AC380" s="1293">
        <f t="shared" si="354"/>
        <v>0</v>
      </c>
      <c r="AD380" s="1293">
        <f t="shared" si="357"/>
        <v>0</v>
      </c>
      <c r="AE380" s="1293">
        <f t="shared" si="350"/>
        <v>0</v>
      </c>
      <c r="AF380" s="1294"/>
      <c r="AG380" s="1294"/>
      <c r="AH380" s="1294">
        <f t="shared" si="355"/>
        <v>0</v>
      </c>
      <c r="AI380" s="1294">
        <f>'[8]PRIH REBALANS'!$AK$912</f>
        <v>2329940</v>
      </c>
      <c r="AJ380" s="1293">
        <f t="shared" si="358"/>
        <v>0</v>
      </c>
      <c r="AK380" s="1294"/>
      <c r="AL380" s="1294">
        <f t="shared" si="396"/>
        <v>0</v>
      </c>
      <c r="AM380" s="1294"/>
      <c r="AN380" s="1294"/>
      <c r="AO380" s="1294"/>
      <c r="AP380" s="1294"/>
      <c r="AQ380" s="1294">
        <f>SUM(W381:W382)</f>
        <v>2180000</v>
      </c>
      <c r="AR380" s="1294">
        <f t="shared" si="403"/>
        <v>0</v>
      </c>
      <c r="AS380" s="1136">
        <f>SUM(W385:W386)</f>
        <v>197000</v>
      </c>
      <c r="AT380" s="668">
        <f t="shared" si="400"/>
        <v>197000</v>
      </c>
      <c r="AU380" s="463">
        <f>SUM(W385:W386)</f>
        <v>197000</v>
      </c>
      <c r="AV380" s="468">
        <f t="shared" si="401"/>
        <v>197000</v>
      </c>
      <c r="AW380" s="468">
        <f t="shared" si="399"/>
        <v>-172000</v>
      </c>
      <c r="AX380" s="272"/>
      <c r="AY380" s="272"/>
      <c r="AZ380" s="272"/>
      <c r="BA380" s="272"/>
      <c r="BB380" s="272"/>
      <c r="BC380" s="437">
        <f>'[2]PRIH REBALANS'!$AK$926</f>
        <v>2180000</v>
      </c>
      <c r="BD380" s="437"/>
      <c r="BE380">
        <f t="shared" si="397"/>
        <v>10.466666666666667</v>
      </c>
      <c r="BF380" s="437">
        <f t="shared" si="398"/>
        <v>-91.845590341722925</v>
      </c>
      <c r="BG380" s="209">
        <f>SUM(W385:W386)</f>
        <v>197000</v>
      </c>
    </row>
    <row r="381" spans="1:59" ht="39" customHeight="1">
      <c r="A381" s="1572"/>
      <c r="B381" s="1573"/>
      <c r="C381" s="1573"/>
      <c r="D381" s="1373" t="s">
        <v>319</v>
      </c>
      <c r="E381" s="1373"/>
      <c r="F381" s="1796" t="s">
        <v>209</v>
      </c>
      <c r="G381" s="1837" t="s">
        <v>210</v>
      </c>
      <c r="H381" s="1608">
        <v>1420000</v>
      </c>
      <c r="I381" s="1575"/>
      <c r="J381" s="1575"/>
      <c r="K381" s="1576">
        <v>1420000</v>
      </c>
      <c r="L381" s="1577">
        <v>1500000</v>
      </c>
      <c r="M381" s="1301"/>
      <c r="N381" s="1302"/>
      <c r="O381" s="1375">
        <f>SUM(L381:N381)</f>
        <v>1500000</v>
      </c>
      <c r="P381" s="1577"/>
      <c r="Q381" s="1301"/>
      <c r="R381" s="1302"/>
      <c r="S381" s="1375">
        <f>SUM(P381:R381)</f>
        <v>0</v>
      </c>
      <c r="T381" s="1577">
        <v>1500000</v>
      </c>
      <c r="U381" s="1301"/>
      <c r="V381" s="1302"/>
      <c r="W381" s="1375">
        <f>SUM(T381:V381)</f>
        <v>1500000</v>
      </c>
      <c r="X381" s="1578">
        <f t="shared" si="356"/>
        <v>100</v>
      </c>
      <c r="Y381" s="2457"/>
      <c r="Z381" s="1136"/>
      <c r="AA381" s="1136"/>
      <c r="AB381" s="1293">
        <f t="shared" si="349"/>
        <v>0</v>
      </c>
      <c r="AC381" s="1293">
        <f t="shared" si="354"/>
        <v>0</v>
      </c>
      <c r="AD381" s="1293">
        <f t="shared" si="357"/>
        <v>0</v>
      </c>
      <c r="AE381" s="1293">
        <f t="shared" si="350"/>
        <v>0</v>
      </c>
      <c r="AF381" s="1294"/>
      <c r="AG381" s="1294"/>
      <c r="AH381" s="1294">
        <f t="shared" si="355"/>
        <v>0</v>
      </c>
      <c r="AI381" s="1294">
        <f>T381+U381+V381-W381</f>
        <v>0</v>
      </c>
      <c r="AJ381" s="1293">
        <f t="shared" si="358"/>
        <v>0</v>
      </c>
      <c r="AK381" s="1294"/>
      <c r="AL381" s="1294">
        <f t="shared" si="396"/>
        <v>0</v>
      </c>
      <c r="AM381" s="1294"/>
      <c r="AN381" s="1294"/>
      <c r="AO381" s="1294"/>
      <c r="AP381" s="1294"/>
      <c r="AQ381" s="1294">
        <f>L381*5%</f>
        <v>75000</v>
      </c>
      <c r="AR381" s="1294">
        <f t="shared" si="403"/>
        <v>0</v>
      </c>
      <c r="AS381" s="1136"/>
      <c r="AT381" s="668">
        <f t="shared" si="400"/>
        <v>-132000</v>
      </c>
      <c r="AU381" s="463"/>
      <c r="AV381" s="468">
        <f t="shared" si="401"/>
        <v>-132000</v>
      </c>
      <c r="AW381" s="468">
        <f t="shared" si="399"/>
        <v>289000</v>
      </c>
      <c r="AX381" s="272"/>
      <c r="AY381" s="272"/>
      <c r="AZ381" s="272"/>
      <c r="BA381" s="272"/>
      <c r="BB381" s="272"/>
      <c r="BC381" s="437">
        <f>T384+U384+V384+-W385</f>
        <v>-132000</v>
      </c>
      <c r="BD381" s="437"/>
      <c r="BE381">
        <f t="shared" si="397"/>
        <v>5.8823529411764701</v>
      </c>
      <c r="BF381" s="437">
        <f t="shared" si="398"/>
        <v>-94.117647058823536</v>
      </c>
    </row>
    <row r="382" spans="1:59" ht="39" customHeight="1">
      <c r="A382" s="1572"/>
      <c r="B382" s="1573"/>
      <c r="C382" s="1573"/>
      <c r="D382" s="1373" t="s">
        <v>319</v>
      </c>
      <c r="E382" s="1373"/>
      <c r="F382" s="1796" t="s">
        <v>211</v>
      </c>
      <c r="G382" s="1838" t="s">
        <v>659</v>
      </c>
      <c r="H382" s="1575">
        <v>640000</v>
      </c>
      <c r="I382" s="1380"/>
      <c r="J382" s="1380"/>
      <c r="K382" s="1374">
        <v>640000</v>
      </c>
      <c r="L382" s="1577">
        <v>680000</v>
      </c>
      <c r="M382" s="1303"/>
      <c r="N382" s="1304"/>
      <c r="O382" s="1375">
        <f>SUM(L382:N382)</f>
        <v>680000</v>
      </c>
      <c r="P382" s="1577"/>
      <c r="Q382" s="1303"/>
      <c r="R382" s="1304"/>
      <c r="S382" s="1375">
        <f>SUM(P382:R382)</f>
        <v>0</v>
      </c>
      <c r="T382" s="1577">
        <v>680000</v>
      </c>
      <c r="U382" s="1303"/>
      <c r="V382" s="1304"/>
      <c r="W382" s="1375">
        <f>SUM(T382:V382)</f>
        <v>680000</v>
      </c>
      <c r="X382" s="1578">
        <f t="shared" si="356"/>
        <v>100</v>
      </c>
      <c r="Y382" s="2457"/>
      <c r="Z382" s="1136"/>
      <c r="AA382" s="1136"/>
      <c r="AB382" s="1293">
        <f t="shared" si="349"/>
        <v>0</v>
      </c>
      <c r="AC382" s="1293">
        <f t="shared" si="354"/>
        <v>0</v>
      </c>
      <c r="AD382" s="1293">
        <f t="shared" si="357"/>
        <v>0</v>
      </c>
      <c r="AE382" s="1293">
        <f t="shared" si="350"/>
        <v>0</v>
      </c>
      <c r="AF382" s="1294"/>
      <c r="AG382" s="1294"/>
      <c r="AH382" s="1294">
        <f t="shared" si="355"/>
        <v>0</v>
      </c>
      <c r="AI382" s="1294">
        <f>T382+U382+V382-W382</f>
        <v>0</v>
      </c>
      <c r="AJ382" s="1293">
        <f t="shared" si="358"/>
        <v>0</v>
      </c>
      <c r="AK382" s="1294"/>
      <c r="AL382" s="1294">
        <f t="shared" si="396"/>
        <v>0</v>
      </c>
      <c r="AM382" s="1294"/>
      <c r="AN382" s="1294"/>
      <c r="AO382" s="1294"/>
      <c r="AP382" s="1294"/>
      <c r="AQ382" s="1294"/>
      <c r="AR382" s="1294">
        <f t="shared" si="403"/>
        <v>0</v>
      </c>
      <c r="AS382" s="1136"/>
      <c r="AT382" s="668">
        <f t="shared" si="400"/>
        <v>117000</v>
      </c>
      <c r="AU382" s="463"/>
      <c r="AV382" s="468">
        <f t="shared" si="401"/>
        <v>117000</v>
      </c>
      <c r="AW382" s="468">
        <f t="shared" si="399"/>
        <v>-77000</v>
      </c>
      <c r="AX382" s="272"/>
      <c r="AY382" s="272"/>
      <c r="AZ382" s="272"/>
      <c r="BA382" s="272"/>
      <c r="BB382" s="272"/>
      <c r="BC382" s="437">
        <f>T385+U385+V385+-W386</f>
        <v>117000</v>
      </c>
      <c r="BD382" s="437"/>
      <c r="BE382">
        <f t="shared" si="397"/>
        <v>104.02720989977206</v>
      </c>
      <c r="BF382" s="437">
        <f t="shared" si="398"/>
        <v>4.0272098997720605</v>
      </c>
    </row>
    <row r="383" spans="1:59" ht="39" customHeight="1">
      <c r="A383" s="1572"/>
      <c r="B383" s="1573"/>
      <c r="C383" s="1573"/>
      <c r="D383" s="1373" t="s">
        <v>319</v>
      </c>
      <c r="E383" s="1373"/>
      <c r="F383" s="1795">
        <v>611200</v>
      </c>
      <c r="G383" s="1836" t="s">
        <v>213</v>
      </c>
      <c r="H383" s="1380">
        <f t="shared" ref="H383:K383" si="405">SUM(H384:H386)</f>
        <v>209500</v>
      </c>
      <c r="I383" s="1380">
        <f t="shared" si="405"/>
        <v>0</v>
      </c>
      <c r="J383" s="1380">
        <f t="shared" si="405"/>
        <v>0</v>
      </c>
      <c r="K383" s="1381">
        <f t="shared" si="405"/>
        <v>209500</v>
      </c>
      <c r="L383" s="1601">
        <f t="shared" ref="L383:O383" si="406">SUM(L384:L386)</f>
        <v>221096</v>
      </c>
      <c r="M383" s="1303">
        <f t="shared" si="406"/>
        <v>0</v>
      </c>
      <c r="N383" s="1304">
        <f t="shared" si="406"/>
        <v>0</v>
      </c>
      <c r="O383" s="1336">
        <f t="shared" si="406"/>
        <v>221096</v>
      </c>
      <c r="P383" s="1601">
        <f>SUM(P384:P386)</f>
        <v>0</v>
      </c>
      <c r="Q383" s="1303"/>
      <c r="R383" s="1304"/>
      <c r="S383" s="1336">
        <f>SUM(S384:S386)</f>
        <v>0</v>
      </c>
      <c r="T383" s="1601">
        <f>SUM(T384:T386)</f>
        <v>222000</v>
      </c>
      <c r="U383" s="1303"/>
      <c r="V383" s="1304"/>
      <c r="W383" s="1316">
        <f>SUM(W384:W386)</f>
        <v>222000</v>
      </c>
      <c r="X383" s="1578">
        <f t="shared" si="356"/>
        <v>100.4088721641278</v>
      </c>
      <c r="Y383" s="2457">
        <f>'[1]PRIH REBALANS'!$AG$916</f>
        <v>222000</v>
      </c>
      <c r="Z383" s="1136"/>
      <c r="AA383" s="1136"/>
      <c r="AB383" s="1293">
        <f t="shared" si="349"/>
        <v>0</v>
      </c>
      <c r="AC383" s="1293">
        <f t="shared" si="354"/>
        <v>0</v>
      </c>
      <c r="AD383" s="1293">
        <f t="shared" si="357"/>
        <v>904</v>
      </c>
      <c r="AE383" s="1293">
        <f t="shared" si="350"/>
        <v>0</v>
      </c>
      <c r="AF383" s="1294"/>
      <c r="AG383" s="1294"/>
      <c r="AH383" s="1294">
        <f t="shared" si="355"/>
        <v>904</v>
      </c>
      <c r="AI383" s="1294">
        <f>'[8]PRIH REBALANS'!$AK$916</f>
        <v>329500</v>
      </c>
      <c r="AJ383" s="1293">
        <f t="shared" si="358"/>
        <v>0</v>
      </c>
      <c r="AK383" s="1294"/>
      <c r="AL383" s="1294">
        <f t="shared" si="396"/>
        <v>0</v>
      </c>
      <c r="AM383" s="1294"/>
      <c r="AN383" s="1294"/>
      <c r="AO383" s="1294"/>
      <c r="AP383" s="1294"/>
      <c r="AQ383" s="1294">
        <f>SUM(W384:W386)</f>
        <v>222000</v>
      </c>
      <c r="AR383" s="1294">
        <f t="shared" si="403"/>
        <v>0</v>
      </c>
      <c r="AS383" s="1136">
        <f>SUM(W388:W390)</f>
        <v>338000</v>
      </c>
      <c r="AT383" s="668">
        <f t="shared" si="400"/>
        <v>-190000</v>
      </c>
      <c r="AU383" s="463">
        <f>SUM(W388:W390)</f>
        <v>338000</v>
      </c>
      <c r="AV383" s="468">
        <f t="shared" si="401"/>
        <v>-190000</v>
      </c>
      <c r="AW383" s="468">
        <f t="shared" si="399"/>
        <v>420000</v>
      </c>
      <c r="AX383" s="463"/>
      <c r="AY383" s="463"/>
      <c r="AZ383" s="463"/>
      <c r="BA383" s="463"/>
      <c r="BB383" s="463"/>
      <c r="BC383" s="437">
        <f>'[2]PRIH REBALANS'!$AK$930</f>
        <v>221096</v>
      </c>
      <c r="BD383" s="437"/>
      <c r="BE383">
        <f t="shared" si="397"/>
        <v>919.99999999999989</v>
      </c>
      <c r="BF383" s="437">
        <f t="shared" si="398"/>
        <v>808.77118644067787</v>
      </c>
      <c r="BG383" s="209">
        <f>SUM(W388:W390)</f>
        <v>338000</v>
      </c>
    </row>
    <row r="384" spans="1:59" ht="39" customHeight="1">
      <c r="A384" s="1572"/>
      <c r="B384" s="1573"/>
      <c r="C384" s="1573"/>
      <c r="D384" s="1373" t="s">
        <v>319</v>
      </c>
      <c r="E384" s="1373" t="s">
        <v>206</v>
      </c>
      <c r="F384" s="1796">
        <v>611211</v>
      </c>
      <c r="G384" s="1838" t="s">
        <v>660</v>
      </c>
      <c r="H384" s="1608">
        <v>23000</v>
      </c>
      <c r="I384" s="1575"/>
      <c r="J384" s="1575"/>
      <c r="K384" s="1576">
        <v>23000</v>
      </c>
      <c r="L384" s="1627">
        <v>25000</v>
      </c>
      <c r="M384" s="1301"/>
      <c r="N384" s="1302"/>
      <c r="O384" s="1375">
        <f>SUM(L384:N384)</f>
        <v>25000</v>
      </c>
      <c r="P384" s="1627"/>
      <c r="Q384" s="1301"/>
      <c r="R384" s="1302"/>
      <c r="S384" s="1375">
        <f>SUM(P384:R384)</f>
        <v>0</v>
      </c>
      <c r="T384" s="1627">
        <v>25000</v>
      </c>
      <c r="U384" s="1301"/>
      <c r="V384" s="1302"/>
      <c r="W384" s="1375">
        <f>SUM(T384:V384)</f>
        <v>25000</v>
      </c>
      <c r="X384" s="1578">
        <f t="shared" si="356"/>
        <v>100</v>
      </c>
      <c r="Y384" s="2457"/>
      <c r="Z384" s="1136"/>
      <c r="AA384" s="1136"/>
      <c r="AB384" s="1293">
        <f t="shared" si="349"/>
        <v>0</v>
      </c>
      <c r="AC384" s="1293">
        <f t="shared" si="354"/>
        <v>0</v>
      </c>
      <c r="AD384" s="1293">
        <f t="shared" si="357"/>
        <v>0</v>
      </c>
      <c r="AE384" s="1293">
        <f t="shared" si="350"/>
        <v>0</v>
      </c>
      <c r="AF384" s="1294"/>
      <c r="AG384" s="1294"/>
      <c r="AH384" s="1294">
        <f t="shared" si="355"/>
        <v>0</v>
      </c>
      <c r="AI384" s="1294">
        <f>T384+U384+V384-W384</f>
        <v>0</v>
      </c>
      <c r="AJ384" s="1293">
        <f t="shared" si="358"/>
        <v>0</v>
      </c>
      <c r="AK384" s="1294"/>
      <c r="AL384" s="1294">
        <f t="shared" si="396"/>
        <v>0</v>
      </c>
      <c r="AM384" s="1294"/>
      <c r="AN384" s="1294"/>
      <c r="AO384" s="1294"/>
      <c r="AP384" s="1294"/>
      <c r="AQ384" s="1294"/>
      <c r="AR384" s="1294">
        <f t="shared" si="403"/>
        <v>0</v>
      </c>
      <c r="AS384" s="1136"/>
      <c r="AT384" s="668">
        <f t="shared" si="400"/>
        <v>0</v>
      </c>
      <c r="AU384" s="463"/>
      <c r="AV384" s="468">
        <f t="shared" si="401"/>
        <v>0</v>
      </c>
      <c r="AW384" s="468">
        <f t="shared" si="399"/>
        <v>230000</v>
      </c>
      <c r="AX384" s="272"/>
      <c r="AY384" s="272"/>
      <c r="AZ384" s="272"/>
      <c r="BA384" s="272"/>
      <c r="BB384" s="272"/>
      <c r="BC384" s="437">
        <f>T387+U387+V387+-W388</f>
        <v>0</v>
      </c>
      <c r="BD384" s="437"/>
      <c r="BE384">
        <f t="shared" si="397"/>
        <v>66.878980891719735</v>
      </c>
      <c r="BF384" s="437">
        <f t="shared" si="398"/>
        <v>-83.121019108280265</v>
      </c>
    </row>
    <row r="385" spans="1:59" ht="39" customHeight="1">
      <c r="A385" s="1572"/>
      <c r="B385" s="1573"/>
      <c r="C385" s="1573"/>
      <c r="D385" s="1373" t="s">
        <v>319</v>
      </c>
      <c r="E385" s="1574"/>
      <c r="F385" s="1797">
        <v>611221</v>
      </c>
      <c r="G385" s="1837" t="s">
        <v>661</v>
      </c>
      <c r="H385" s="1608">
        <v>150000</v>
      </c>
      <c r="I385" s="1575"/>
      <c r="J385" s="1575"/>
      <c r="K385" s="1576">
        <v>150000</v>
      </c>
      <c r="L385" s="1627">
        <v>157000</v>
      </c>
      <c r="M385" s="1301"/>
      <c r="N385" s="1302"/>
      <c r="O385" s="1375">
        <f t="shared" ref="O385:O386" si="407">SUM(L385:N385)</f>
        <v>157000</v>
      </c>
      <c r="P385" s="1627"/>
      <c r="Q385" s="1301"/>
      <c r="R385" s="1302"/>
      <c r="S385" s="1375">
        <f>SUM(P385:R385)</f>
        <v>0</v>
      </c>
      <c r="T385" s="1627">
        <v>157000</v>
      </c>
      <c r="U385" s="1301"/>
      <c r="V385" s="1302"/>
      <c r="W385" s="1375">
        <f t="shared" ref="W385:W386" si="408">SUM(T385:V385)</f>
        <v>157000</v>
      </c>
      <c r="X385" s="1578">
        <f t="shared" si="356"/>
        <v>100</v>
      </c>
      <c r="Y385" s="2457"/>
      <c r="Z385" s="1136"/>
      <c r="AA385" s="1136"/>
      <c r="AB385" s="1293">
        <f t="shared" si="349"/>
        <v>0</v>
      </c>
      <c r="AC385" s="1293">
        <f t="shared" si="354"/>
        <v>0</v>
      </c>
      <c r="AD385" s="1293">
        <f t="shared" si="357"/>
        <v>0</v>
      </c>
      <c r="AE385" s="1293">
        <f t="shared" si="350"/>
        <v>0</v>
      </c>
      <c r="AF385" s="1294"/>
      <c r="AG385" s="1294"/>
      <c r="AH385" s="1294">
        <f t="shared" si="355"/>
        <v>0</v>
      </c>
      <c r="AI385" s="1294">
        <f>T385+U385+V385-W385</f>
        <v>0</v>
      </c>
      <c r="AJ385" s="1293">
        <f t="shared" si="358"/>
        <v>0</v>
      </c>
      <c r="AK385" s="1294"/>
      <c r="AL385" s="1294">
        <f t="shared" si="396"/>
        <v>0</v>
      </c>
      <c r="AM385" s="1294"/>
      <c r="AN385" s="1294"/>
      <c r="AO385" s="1294"/>
      <c r="AP385" s="1294"/>
      <c r="AQ385" s="1294">
        <v>255500</v>
      </c>
      <c r="AR385" s="1294">
        <f t="shared" si="403"/>
        <v>0</v>
      </c>
      <c r="AS385" s="1136"/>
      <c r="AT385" s="668">
        <f t="shared" si="400"/>
        <v>125000</v>
      </c>
      <c r="AU385" s="463"/>
      <c r="AV385" s="468">
        <f t="shared" si="401"/>
        <v>125000</v>
      </c>
      <c r="AW385" s="468">
        <f t="shared" si="399"/>
        <v>-20000</v>
      </c>
      <c r="AX385" s="272"/>
      <c r="AY385" s="272"/>
      <c r="AZ385" s="272"/>
      <c r="BA385" s="272"/>
      <c r="BB385" s="272"/>
      <c r="BC385" s="437">
        <f>T388+U388+V388+-W389</f>
        <v>125000</v>
      </c>
      <c r="BD385" s="437"/>
      <c r="BE385">
        <f t="shared" si="397"/>
        <v>7.6734192756292199</v>
      </c>
      <c r="BF385" s="437">
        <f t="shared" si="398"/>
        <v>-97.589738619107621</v>
      </c>
    </row>
    <row r="386" spans="1:59" ht="39" customHeight="1">
      <c r="A386" s="1572"/>
      <c r="B386" s="1573"/>
      <c r="C386" s="1573"/>
      <c r="D386" s="1373" t="s">
        <v>319</v>
      </c>
      <c r="E386" s="1373" t="s">
        <v>206</v>
      </c>
      <c r="F386" s="1797">
        <v>611224</v>
      </c>
      <c r="G386" s="1837" t="s">
        <v>214</v>
      </c>
      <c r="H386" s="1575">
        <v>36500</v>
      </c>
      <c r="I386" s="1380"/>
      <c r="J386" s="1380"/>
      <c r="K386" s="1374">
        <v>36500</v>
      </c>
      <c r="L386" s="1577">
        <v>39096</v>
      </c>
      <c r="M386" s="1303"/>
      <c r="N386" s="1304"/>
      <c r="O386" s="1375">
        <f t="shared" si="407"/>
        <v>39096</v>
      </c>
      <c r="P386" s="1577"/>
      <c r="Q386" s="1303"/>
      <c r="R386" s="1304"/>
      <c r="S386" s="1375">
        <f>SUM(P386:R386)</f>
        <v>0</v>
      </c>
      <c r="T386" s="1577">
        <v>40000</v>
      </c>
      <c r="U386" s="1303"/>
      <c r="V386" s="1304"/>
      <c r="W386" s="1375">
        <f t="shared" si="408"/>
        <v>40000</v>
      </c>
      <c r="X386" s="1578">
        <f t="shared" si="356"/>
        <v>102.31225700838959</v>
      </c>
      <c r="Y386" s="2457"/>
      <c r="Z386" s="1136"/>
      <c r="AA386" s="1136"/>
      <c r="AB386" s="1293">
        <f t="shared" si="349"/>
        <v>0</v>
      </c>
      <c r="AC386" s="1293">
        <f t="shared" si="354"/>
        <v>0</v>
      </c>
      <c r="AD386" s="1293">
        <f t="shared" si="357"/>
        <v>904</v>
      </c>
      <c r="AE386" s="1293">
        <f t="shared" si="350"/>
        <v>0</v>
      </c>
      <c r="AF386" s="1294"/>
      <c r="AG386" s="1294"/>
      <c r="AH386" s="1294">
        <f t="shared" si="355"/>
        <v>904</v>
      </c>
      <c r="AI386" s="1294">
        <f>T386+U386+V386-W386</f>
        <v>0</v>
      </c>
      <c r="AJ386" s="1293">
        <f t="shared" si="358"/>
        <v>0</v>
      </c>
      <c r="AK386" s="1294"/>
      <c r="AL386" s="1294">
        <f t="shared" si="396"/>
        <v>0</v>
      </c>
      <c r="AM386" s="1294"/>
      <c r="AN386" s="1294"/>
      <c r="AO386" s="1294"/>
      <c r="AP386" s="1294"/>
      <c r="AQ386" s="1294"/>
      <c r="AR386" s="1294">
        <f t="shared" si="403"/>
        <v>0</v>
      </c>
      <c r="AS386" s="1136"/>
      <c r="AT386" s="668">
        <f t="shared" si="400"/>
        <v>102000</v>
      </c>
      <c r="AU386" s="463"/>
      <c r="AV386" s="468">
        <f t="shared" si="401"/>
        <v>102000</v>
      </c>
      <c r="AW386" s="468">
        <f t="shared" si="399"/>
        <v>-99000</v>
      </c>
      <c r="AX386" s="272"/>
      <c r="AY386" s="272"/>
      <c r="AZ386" s="272"/>
      <c r="BA386" s="272"/>
      <c r="BB386" s="272"/>
      <c r="BC386" s="437">
        <f>T389+U389+V389+-W390</f>
        <v>102000</v>
      </c>
      <c r="BD386" s="437"/>
      <c r="BE386">
        <f t="shared" si="397"/>
        <v>17.391304347826086</v>
      </c>
      <c r="BF386" s="437">
        <f t="shared" si="398"/>
        <v>-82.608695652173907</v>
      </c>
    </row>
    <row r="387" spans="1:59" ht="39" customHeight="1">
      <c r="A387" s="1572"/>
      <c r="B387" s="1573"/>
      <c r="C387" s="1573"/>
      <c r="D387" s="1373" t="s">
        <v>319</v>
      </c>
      <c r="E387" s="1574"/>
      <c r="F387" s="1795">
        <v>612000</v>
      </c>
      <c r="G387" s="1836" t="s">
        <v>216</v>
      </c>
      <c r="H387" s="1380">
        <f>H388</f>
        <v>216000</v>
      </c>
      <c r="I387" s="1380">
        <f>SUM(I388)</f>
        <v>0</v>
      </c>
      <c r="J387" s="1380">
        <f>SUM(J388)</f>
        <v>0</v>
      </c>
      <c r="K387" s="1381">
        <f>K388</f>
        <v>216000</v>
      </c>
      <c r="L387" s="1601">
        <f>L388</f>
        <v>230000</v>
      </c>
      <c r="M387" s="1303">
        <f>SUM(M388)</f>
        <v>0</v>
      </c>
      <c r="N387" s="1304">
        <f>SUM(N388)</f>
        <v>0</v>
      </c>
      <c r="O387" s="1336">
        <f>SUM(O388)</f>
        <v>230000</v>
      </c>
      <c r="P387" s="1601">
        <f>SUM(P388)</f>
        <v>230000</v>
      </c>
      <c r="Q387" s="1303"/>
      <c r="R387" s="1304"/>
      <c r="S387" s="1336">
        <f>SUM(S388)</f>
        <v>230000</v>
      </c>
      <c r="T387" s="1601">
        <f>SUM(T388)</f>
        <v>230000</v>
      </c>
      <c r="U387" s="1303"/>
      <c r="V387" s="1304"/>
      <c r="W387" s="1316">
        <f>SUM(W388)</f>
        <v>230000</v>
      </c>
      <c r="X387" s="1578">
        <f t="shared" si="356"/>
        <v>100</v>
      </c>
      <c r="Y387" s="2457"/>
      <c r="Z387" s="1136"/>
      <c r="AA387" s="1136"/>
      <c r="AB387" s="1293">
        <f t="shared" si="349"/>
        <v>0</v>
      </c>
      <c r="AC387" s="1293">
        <f t="shared" si="354"/>
        <v>0</v>
      </c>
      <c r="AD387" s="1293">
        <f t="shared" si="357"/>
        <v>0</v>
      </c>
      <c r="AE387" s="1293">
        <f t="shared" si="350"/>
        <v>0</v>
      </c>
      <c r="AF387" s="1294"/>
      <c r="AG387" s="1294"/>
      <c r="AH387" s="1294">
        <f t="shared" si="355"/>
        <v>0</v>
      </c>
      <c r="AI387" s="1294">
        <f>'[8]PRIH REBALANS'!$AK$920</f>
        <v>228900</v>
      </c>
      <c r="AJ387" s="1293">
        <f t="shared" si="358"/>
        <v>0</v>
      </c>
      <c r="AK387" s="1294"/>
      <c r="AL387" s="1294">
        <f t="shared" si="396"/>
        <v>0</v>
      </c>
      <c r="AM387" s="1294"/>
      <c r="AN387" s="1294"/>
      <c r="AO387" s="1294"/>
      <c r="AP387" s="1294"/>
      <c r="AQ387" s="1294">
        <f>W388</f>
        <v>230000</v>
      </c>
      <c r="AR387" s="1294">
        <f t="shared" si="403"/>
        <v>0</v>
      </c>
      <c r="AS387" s="1136">
        <f>W392</f>
        <v>10000</v>
      </c>
      <c r="AT387" s="668">
        <f t="shared" si="400"/>
        <v>-37000</v>
      </c>
      <c r="AU387" s="463">
        <f>W392</f>
        <v>10000</v>
      </c>
      <c r="AV387" s="468">
        <f t="shared" si="401"/>
        <v>-37000</v>
      </c>
      <c r="AW387" s="468">
        <f t="shared" si="399"/>
        <v>77000</v>
      </c>
      <c r="AX387" s="463"/>
      <c r="AY387" s="463"/>
      <c r="AZ387" s="463"/>
      <c r="BA387" s="463"/>
      <c r="BB387" s="463"/>
      <c r="BC387" s="437">
        <f>T390+U390+V390+-W391</f>
        <v>-37000</v>
      </c>
      <c r="BD387" s="437"/>
      <c r="BE387">
        <f t="shared" si="397"/>
        <v>4.3478260869565215</v>
      </c>
      <c r="BF387" s="437">
        <f t="shared" si="398"/>
        <v>-113.2992327365729</v>
      </c>
      <c r="BG387" s="209">
        <f>SUM(W392)</f>
        <v>10000</v>
      </c>
    </row>
    <row r="388" spans="1:59" ht="39" customHeight="1">
      <c r="A388" s="1376"/>
      <c r="B388" s="1573"/>
      <c r="C388" s="1573"/>
      <c r="D388" s="1373" t="s">
        <v>319</v>
      </c>
      <c r="E388" s="1574"/>
      <c r="F388" s="1796">
        <v>612110</v>
      </c>
      <c r="G388" s="1838" t="s">
        <v>217</v>
      </c>
      <c r="H388" s="1575">
        <v>216000</v>
      </c>
      <c r="I388" s="1380"/>
      <c r="J388" s="1380"/>
      <c r="K388" s="1374">
        <v>216000</v>
      </c>
      <c r="L388" s="1577">
        <v>230000</v>
      </c>
      <c r="M388" s="1303"/>
      <c r="N388" s="1304"/>
      <c r="O388" s="1375">
        <f>SUM(L388:N388)</f>
        <v>230000</v>
      </c>
      <c r="P388" s="1577">
        <v>230000</v>
      </c>
      <c r="Q388" s="1303"/>
      <c r="R388" s="1304"/>
      <c r="S388" s="1375">
        <f>SUM(P388:R388)</f>
        <v>230000</v>
      </c>
      <c r="T388" s="1577">
        <v>230000</v>
      </c>
      <c r="U388" s="1303"/>
      <c r="V388" s="1304"/>
      <c r="W388" s="1375">
        <f>SUM(T388:V388)</f>
        <v>230000</v>
      </c>
      <c r="X388" s="1578">
        <f t="shared" si="356"/>
        <v>100</v>
      </c>
      <c r="Y388" s="2457"/>
      <c r="Z388" s="1136"/>
      <c r="AA388" s="1136"/>
      <c r="AB388" s="1293">
        <f t="shared" ref="AB388:AB451" si="409">T388+U388+V388-W388</f>
        <v>0</v>
      </c>
      <c r="AC388" s="1293">
        <f t="shared" si="354"/>
        <v>0</v>
      </c>
      <c r="AD388" s="1293">
        <f t="shared" si="357"/>
        <v>0</v>
      </c>
      <c r="AE388" s="1293">
        <f t="shared" si="350"/>
        <v>0</v>
      </c>
      <c r="AF388" s="1294"/>
      <c r="AG388" s="1294"/>
      <c r="AH388" s="1294">
        <f t="shared" si="355"/>
        <v>0</v>
      </c>
      <c r="AI388" s="1294">
        <f>T388+U388+V388-W388</f>
        <v>0</v>
      </c>
      <c r="AJ388" s="1293">
        <f t="shared" si="358"/>
        <v>0</v>
      </c>
      <c r="AK388" s="1294"/>
      <c r="AL388" s="1294">
        <f t="shared" si="396"/>
        <v>0</v>
      </c>
      <c r="AM388" s="1294"/>
      <c r="AN388" s="1294"/>
      <c r="AO388" s="1294"/>
      <c r="AP388" s="1294"/>
      <c r="AQ388" s="1294"/>
      <c r="AR388" s="1294">
        <f t="shared" si="403"/>
        <v>0</v>
      </c>
      <c r="AS388" s="1136"/>
      <c r="AT388" s="668">
        <f t="shared" si="400"/>
        <v>30000</v>
      </c>
      <c r="AU388" s="463"/>
      <c r="AV388" s="468">
        <f t="shared" si="401"/>
        <v>30000</v>
      </c>
      <c r="AW388" s="468">
        <f t="shared" si="399"/>
        <v>-20000</v>
      </c>
      <c r="AX388" s="272"/>
      <c r="AY388" s="272"/>
      <c r="AZ388" s="272"/>
      <c r="BA388" s="272"/>
      <c r="BB388" s="272"/>
      <c r="BC388" s="437">
        <f>T391+U391+V391+-W392</f>
        <v>30000</v>
      </c>
      <c r="BD388" s="437"/>
      <c r="BE388">
        <f t="shared" si="397"/>
        <v>21.1864406779661</v>
      </c>
      <c r="BF388" s="437">
        <f t="shared" si="398"/>
        <v>-112.14689265536721</v>
      </c>
    </row>
    <row r="389" spans="1:59" ht="39" customHeight="1">
      <c r="A389" s="1572"/>
      <c r="B389" s="1573"/>
      <c r="C389" s="1573"/>
      <c r="D389" s="1373" t="s">
        <v>319</v>
      </c>
      <c r="E389" s="1574"/>
      <c r="F389" s="1799">
        <v>613000</v>
      </c>
      <c r="G389" s="1840" t="s">
        <v>169</v>
      </c>
      <c r="H389" s="1380">
        <f t="shared" ref="H389:J389" si="410">SUM(H390:H395)</f>
        <v>90000</v>
      </c>
      <c r="I389" s="1380">
        <f t="shared" si="410"/>
        <v>0</v>
      </c>
      <c r="J389" s="1380">
        <f t="shared" si="410"/>
        <v>0</v>
      </c>
      <c r="K389" s="1381" t="e">
        <f t="shared" ref="K389:O389" si="411">SUM(K390:K395)</f>
        <v>#REF!</v>
      </c>
      <c r="L389" s="1601">
        <f t="shared" si="411"/>
        <v>94400</v>
      </c>
      <c r="M389" s="1303">
        <f t="shared" si="411"/>
        <v>0</v>
      </c>
      <c r="N389" s="1304">
        <f t="shared" si="411"/>
        <v>0</v>
      </c>
      <c r="O389" s="1336">
        <f t="shared" si="411"/>
        <v>94400</v>
      </c>
      <c r="P389" s="1601">
        <f>SUM(P390:P395)</f>
        <v>107000</v>
      </c>
      <c r="Q389" s="1303"/>
      <c r="R389" s="1304"/>
      <c r="S389" s="1336">
        <f>SUM(S390:S395)</f>
        <v>107000</v>
      </c>
      <c r="T389" s="1601">
        <f>SUM(T390:T395)</f>
        <v>105000</v>
      </c>
      <c r="U389" s="1303"/>
      <c r="V389" s="1304"/>
      <c r="W389" s="1316">
        <f>SUM(W390:W395)</f>
        <v>105000</v>
      </c>
      <c r="X389" s="1578">
        <f t="shared" si="356"/>
        <v>111.22881355932203</v>
      </c>
      <c r="Y389" s="2457"/>
      <c r="Z389" s="1136"/>
      <c r="AA389" s="1136"/>
      <c r="AB389" s="1293">
        <f t="shared" si="409"/>
        <v>0</v>
      </c>
      <c r="AC389" s="1293">
        <f t="shared" si="354"/>
        <v>0</v>
      </c>
      <c r="AD389" s="1293">
        <f t="shared" si="357"/>
        <v>10600</v>
      </c>
      <c r="AE389" s="1293">
        <f t="shared" ref="AE389:AE452" si="412">T389+U389+V389-W389</f>
        <v>0</v>
      </c>
      <c r="AF389" s="1294"/>
      <c r="AG389" s="1294"/>
      <c r="AH389" s="1294">
        <f t="shared" si="355"/>
        <v>10600</v>
      </c>
      <c r="AI389" s="1294">
        <f>'[8]PRIH REBALANS'!$AK$922</f>
        <v>107000</v>
      </c>
      <c r="AJ389" s="1293">
        <f t="shared" si="358"/>
        <v>0</v>
      </c>
      <c r="AK389" s="1294"/>
      <c r="AL389" s="1294">
        <f t="shared" si="396"/>
        <v>0</v>
      </c>
      <c r="AM389" s="1294"/>
      <c r="AN389" s="1294"/>
      <c r="AO389" s="1294"/>
      <c r="AP389" s="1294"/>
      <c r="AQ389" s="1294">
        <f>SUM(W390:W395)</f>
        <v>105000</v>
      </c>
      <c r="AR389" s="1294">
        <f t="shared" si="403"/>
        <v>0</v>
      </c>
      <c r="AS389" s="1136">
        <f>SUM(W394:W399)</f>
        <v>44000</v>
      </c>
      <c r="AT389" s="668">
        <f t="shared" si="400"/>
        <v>-10000</v>
      </c>
      <c r="AU389" s="463">
        <f>SUM(W394:W399)</f>
        <v>44000</v>
      </c>
      <c r="AV389" s="468">
        <f t="shared" si="401"/>
        <v>-10000</v>
      </c>
      <c r="AW389" s="468">
        <f t="shared" si="399"/>
        <v>30000</v>
      </c>
      <c r="AX389" s="463"/>
      <c r="AY389" s="463"/>
      <c r="AZ389" s="463"/>
      <c r="BA389" s="463"/>
      <c r="BB389" s="463"/>
      <c r="BC389" s="437">
        <f>'[2]PRIH REBALANS'!$AK$936</f>
        <v>94400</v>
      </c>
      <c r="BD389" s="437"/>
      <c r="BE389">
        <f t="shared" si="397"/>
        <v>1000</v>
      </c>
      <c r="BF389" s="437">
        <f t="shared" si="398"/>
        <v>903.22580645161293</v>
      </c>
      <c r="BG389" s="209">
        <f>SUM(W394:W399)</f>
        <v>44000</v>
      </c>
    </row>
    <row r="390" spans="1:59" ht="39" customHeight="1">
      <c r="A390" s="1572"/>
      <c r="B390" s="1573"/>
      <c r="C390" s="1573"/>
      <c r="D390" s="1373" t="s">
        <v>319</v>
      </c>
      <c r="E390" s="1574"/>
      <c r="F390" s="1797">
        <v>613100</v>
      </c>
      <c r="G390" s="1837" t="s">
        <v>170</v>
      </c>
      <c r="H390" s="1575">
        <v>2000</v>
      </c>
      <c r="I390" s="1575"/>
      <c r="J390" s="1575"/>
      <c r="K390" s="1374">
        <v>2000</v>
      </c>
      <c r="L390" s="1577">
        <v>2000</v>
      </c>
      <c r="M390" s="1301"/>
      <c r="N390" s="1302"/>
      <c r="O390" s="1375">
        <f>SUM(L390:N390)</f>
        <v>2000</v>
      </c>
      <c r="P390" s="1577">
        <v>3000</v>
      </c>
      <c r="Q390" s="1301"/>
      <c r="R390" s="1302"/>
      <c r="S390" s="1375">
        <f>SUM(P390:R390)</f>
        <v>3000</v>
      </c>
      <c r="T390" s="1577">
        <v>3000</v>
      </c>
      <c r="U390" s="1301"/>
      <c r="V390" s="1302"/>
      <c r="W390" s="1375">
        <f>SUM(T390:V390)</f>
        <v>3000</v>
      </c>
      <c r="X390" s="1578">
        <f t="shared" si="356"/>
        <v>150</v>
      </c>
      <c r="Y390" s="2457"/>
      <c r="Z390" s="1136"/>
      <c r="AA390" s="1136"/>
      <c r="AB390" s="1293">
        <f t="shared" si="409"/>
        <v>0</v>
      </c>
      <c r="AC390" s="1293">
        <f t="shared" ref="AC390:AC453" si="413">T390+U390+V390-W390</f>
        <v>0</v>
      </c>
      <c r="AD390" s="1293">
        <f t="shared" si="357"/>
        <v>1000</v>
      </c>
      <c r="AE390" s="1293">
        <f t="shared" si="412"/>
        <v>0</v>
      </c>
      <c r="AF390" s="1294"/>
      <c r="AG390" s="1294"/>
      <c r="AH390" s="1294">
        <f t="shared" ref="AH390:AH453" si="414">T390-L390</f>
        <v>1000</v>
      </c>
      <c r="AI390" s="1294">
        <f>'[8]PRIH REBALANS'!$AG$923</f>
        <v>3000</v>
      </c>
      <c r="AJ390" s="1293">
        <f t="shared" si="358"/>
        <v>0</v>
      </c>
      <c r="AK390" s="1294"/>
      <c r="AL390" s="1294">
        <f t="shared" si="396"/>
        <v>0</v>
      </c>
      <c r="AM390" s="1294"/>
      <c r="AN390" s="1294"/>
      <c r="AO390" s="1294"/>
      <c r="AP390" s="1294"/>
      <c r="AQ390" s="1294"/>
      <c r="AR390" s="1294">
        <f t="shared" si="403"/>
        <v>0</v>
      </c>
      <c r="AS390" s="1136"/>
      <c r="AT390" s="668">
        <f t="shared" si="400"/>
        <v>0</v>
      </c>
      <c r="AU390" s="463"/>
      <c r="AV390" s="468">
        <f t="shared" si="401"/>
        <v>0</v>
      </c>
      <c r="AW390" s="468">
        <f t="shared" si="399"/>
        <v>20000</v>
      </c>
      <c r="AX390" s="272"/>
      <c r="AY390" s="272"/>
      <c r="AZ390" s="272"/>
      <c r="BA390" s="272"/>
      <c r="BB390" s="272"/>
      <c r="BC390" s="437">
        <f>T393+U393+V393+-W394</f>
        <v>0</v>
      </c>
      <c r="BD390" s="437"/>
      <c r="BE390">
        <f t="shared" si="397"/>
        <v>31.578947368421051</v>
      </c>
      <c r="BF390" s="437">
        <f t="shared" si="398"/>
        <v>-68.421052631578945</v>
      </c>
    </row>
    <row r="391" spans="1:59" ht="39" customHeight="1">
      <c r="A391" s="1572"/>
      <c r="B391" s="1377"/>
      <c r="C391" s="1377"/>
      <c r="D391" s="1373" t="s">
        <v>319</v>
      </c>
      <c r="E391" s="1574"/>
      <c r="F391" s="1797">
        <v>613200</v>
      </c>
      <c r="G391" s="1837" t="s">
        <v>171</v>
      </c>
      <c r="H391" s="1575">
        <v>38000</v>
      </c>
      <c r="I391" s="1575"/>
      <c r="J391" s="1575"/>
      <c r="K391" s="1374">
        <v>38000</v>
      </c>
      <c r="L391" s="1577">
        <v>38000</v>
      </c>
      <c r="M391" s="1301"/>
      <c r="N391" s="1302"/>
      <c r="O391" s="1375">
        <f t="shared" ref="O391:O394" si="415">SUM(L391:N391)</f>
        <v>38000</v>
      </c>
      <c r="P391" s="1577">
        <v>40000</v>
      </c>
      <c r="Q391" s="1301"/>
      <c r="R391" s="1302"/>
      <c r="S391" s="1375">
        <f>SUM(P391:R391)</f>
        <v>40000</v>
      </c>
      <c r="T391" s="1577">
        <v>40000</v>
      </c>
      <c r="U391" s="1301"/>
      <c r="V391" s="1302"/>
      <c r="W391" s="1375">
        <f t="shared" ref="W391:W394" si="416">SUM(T391:V391)</f>
        <v>40000</v>
      </c>
      <c r="X391" s="1578">
        <f t="shared" si="356"/>
        <v>105.26315789473684</v>
      </c>
      <c r="Y391" s="2457"/>
      <c r="Z391" s="1136"/>
      <c r="AA391" s="1136"/>
      <c r="AB391" s="1293">
        <f t="shared" si="409"/>
        <v>0</v>
      </c>
      <c r="AC391" s="1293">
        <f t="shared" si="413"/>
        <v>0</v>
      </c>
      <c r="AD391" s="1293">
        <f t="shared" si="357"/>
        <v>2000</v>
      </c>
      <c r="AE391" s="1293">
        <f t="shared" si="412"/>
        <v>0</v>
      </c>
      <c r="AF391" s="1294"/>
      <c r="AG391" s="1294"/>
      <c r="AH391" s="1294">
        <f t="shared" si="414"/>
        <v>2000</v>
      </c>
      <c r="AI391" s="1294">
        <f>T391+U391+V391-W391</f>
        <v>0</v>
      </c>
      <c r="AJ391" s="1293">
        <f t="shared" si="358"/>
        <v>0</v>
      </c>
      <c r="AK391" s="1294"/>
      <c r="AL391" s="1294">
        <f t="shared" si="396"/>
        <v>0</v>
      </c>
      <c r="AM391" s="1294"/>
      <c r="AN391" s="1294"/>
      <c r="AO391" s="1294"/>
      <c r="AP391" s="1294"/>
      <c r="AQ391" s="1294"/>
      <c r="AR391" s="1294">
        <f t="shared" si="403"/>
        <v>0</v>
      </c>
      <c r="AS391" s="1136"/>
      <c r="AT391" s="668">
        <f t="shared" si="400"/>
        <v>8000</v>
      </c>
      <c r="AU391" s="463"/>
      <c r="AV391" s="468">
        <f t="shared" si="401"/>
        <v>8000</v>
      </c>
      <c r="AW391" s="468">
        <f t="shared" si="399"/>
        <v>4000</v>
      </c>
      <c r="AX391" s="272"/>
      <c r="AY391" s="272"/>
      <c r="AZ391" s="272"/>
      <c r="BA391" s="272"/>
      <c r="BB391" s="272"/>
      <c r="BC391" s="437">
        <f>T394+U394+V394+-W395</f>
        <v>8000</v>
      </c>
      <c r="BD391" s="437"/>
      <c r="BE391">
        <f t="shared" si="397"/>
        <v>20</v>
      </c>
      <c r="BF391" s="437">
        <f t="shared" si="398"/>
        <v>-66.956521739130437</v>
      </c>
    </row>
    <row r="392" spans="1:59" ht="39" customHeight="1">
      <c r="A392" s="1572"/>
      <c r="B392" s="1573"/>
      <c r="C392" s="1573"/>
      <c r="D392" s="1373" t="s">
        <v>319</v>
      </c>
      <c r="E392" s="1373" t="s">
        <v>206</v>
      </c>
      <c r="F392" s="1797">
        <v>613300</v>
      </c>
      <c r="G392" s="1837" t="s">
        <v>262</v>
      </c>
      <c r="H392" s="1575">
        <v>10000</v>
      </c>
      <c r="I392" s="1575"/>
      <c r="J392" s="1575"/>
      <c r="K392" s="1374">
        <v>10000</v>
      </c>
      <c r="L392" s="1577">
        <v>10000</v>
      </c>
      <c r="M392" s="1301"/>
      <c r="N392" s="1302"/>
      <c r="O392" s="1375">
        <f t="shared" si="415"/>
        <v>10000</v>
      </c>
      <c r="P392" s="1577">
        <v>10000</v>
      </c>
      <c r="Q392" s="1301"/>
      <c r="R392" s="1302"/>
      <c r="S392" s="1375">
        <f>SUM(P392:R392)</f>
        <v>10000</v>
      </c>
      <c r="T392" s="1577">
        <v>10000</v>
      </c>
      <c r="U392" s="1301"/>
      <c r="V392" s="1302"/>
      <c r="W392" s="1375">
        <f t="shared" si="416"/>
        <v>10000</v>
      </c>
      <c r="X392" s="1578">
        <f t="shared" ref="X392:X455" si="417">W392/O392*100</f>
        <v>100</v>
      </c>
      <c r="Y392" s="2457"/>
      <c r="Z392" s="1136"/>
      <c r="AA392" s="1136"/>
      <c r="AB392" s="1293">
        <f t="shared" si="409"/>
        <v>0</v>
      </c>
      <c r="AC392" s="1293">
        <f t="shared" si="413"/>
        <v>0</v>
      </c>
      <c r="AD392" s="1293">
        <f t="shared" ref="AD392:AD455" si="418">W392-O392</f>
        <v>0</v>
      </c>
      <c r="AE392" s="1293">
        <f t="shared" si="412"/>
        <v>0</v>
      </c>
      <c r="AF392" s="1294"/>
      <c r="AG392" s="1294"/>
      <c r="AH392" s="1294">
        <f t="shared" si="414"/>
        <v>0</v>
      </c>
      <c r="AI392" s="1294">
        <f>'[8]PRIH REBALANS'!$AG$925</f>
        <v>10000</v>
      </c>
      <c r="AJ392" s="1293">
        <f t="shared" ref="AJ392:AJ455" si="419">T392+U392+V392-W392</f>
        <v>0</v>
      </c>
      <c r="AK392" s="1294"/>
      <c r="AL392" s="1294">
        <f t="shared" si="396"/>
        <v>0</v>
      </c>
      <c r="AM392" s="1294"/>
      <c r="AN392" s="1294"/>
      <c r="AO392" s="1294"/>
      <c r="AP392" s="1294"/>
      <c r="AQ392" s="1294"/>
      <c r="AR392" s="1294">
        <f t="shared" si="403"/>
        <v>0</v>
      </c>
      <c r="AS392" s="1136"/>
      <c r="AT392" s="668">
        <f t="shared" si="400"/>
        <v>10000</v>
      </c>
      <c r="AU392" s="463"/>
      <c r="AV392" s="468">
        <f t="shared" si="401"/>
        <v>10000</v>
      </c>
      <c r="AW392" s="468">
        <f t="shared" si="399"/>
        <v>-8000</v>
      </c>
      <c r="AX392" s="272"/>
      <c r="AY392" s="272"/>
      <c r="AZ392" s="272"/>
      <c r="BA392" s="272"/>
      <c r="BB392" s="272"/>
      <c r="BC392" s="437">
        <f>T395+U395+V395+-W396</f>
        <v>10000</v>
      </c>
      <c r="BD392" s="437"/>
      <c r="BE392">
        <f t="shared" si="397"/>
        <v>11.76470588235294</v>
      </c>
      <c r="BF392" s="437">
        <f t="shared" si="398"/>
        <v>-86.826843413421713</v>
      </c>
    </row>
    <row r="393" spans="1:59" ht="39" customHeight="1">
      <c r="A393" s="1572"/>
      <c r="B393" s="1573"/>
      <c r="C393" s="1573"/>
      <c r="D393" s="1373" t="s">
        <v>319</v>
      </c>
      <c r="E393" s="1574"/>
      <c r="F393" s="1797">
        <v>613400</v>
      </c>
      <c r="G393" s="1837" t="s">
        <v>246</v>
      </c>
      <c r="H393" s="1575">
        <v>17000</v>
      </c>
      <c r="I393" s="1575"/>
      <c r="J393" s="1575"/>
      <c r="K393" s="1374">
        <v>17000</v>
      </c>
      <c r="L393" s="1577">
        <v>17000</v>
      </c>
      <c r="M393" s="1301"/>
      <c r="N393" s="1302"/>
      <c r="O393" s="1375">
        <f t="shared" si="415"/>
        <v>17000</v>
      </c>
      <c r="P393" s="1577">
        <v>20000</v>
      </c>
      <c r="Q393" s="1301"/>
      <c r="R393" s="1302"/>
      <c r="S393" s="1375">
        <f>SUM(P393:R393)</f>
        <v>20000</v>
      </c>
      <c r="T393" s="1577">
        <v>20000</v>
      </c>
      <c r="U393" s="1301"/>
      <c r="V393" s="1302"/>
      <c r="W393" s="1375">
        <f t="shared" si="416"/>
        <v>20000</v>
      </c>
      <c r="X393" s="1578">
        <f t="shared" si="417"/>
        <v>117.64705882352942</v>
      </c>
      <c r="Y393" s="2457"/>
      <c r="Z393" s="1136"/>
      <c r="AA393" s="1136"/>
      <c r="AB393" s="1293">
        <f t="shared" si="409"/>
        <v>0</v>
      </c>
      <c r="AC393" s="1293">
        <f t="shared" si="413"/>
        <v>0</v>
      </c>
      <c r="AD393" s="1293">
        <f t="shared" si="418"/>
        <v>3000</v>
      </c>
      <c r="AE393" s="1293">
        <f t="shared" si="412"/>
        <v>0</v>
      </c>
      <c r="AF393" s="1294"/>
      <c r="AG393" s="1294"/>
      <c r="AH393" s="1294">
        <f t="shared" si="414"/>
        <v>3000</v>
      </c>
      <c r="AI393" s="1294">
        <f>T393+U393+V393-W393</f>
        <v>0</v>
      </c>
      <c r="AJ393" s="1293">
        <f t="shared" si="419"/>
        <v>0</v>
      </c>
      <c r="AK393" s="1294"/>
      <c r="AL393" s="1294"/>
      <c r="AM393" s="1294"/>
      <c r="AN393" s="1294"/>
      <c r="AO393" s="1294"/>
      <c r="AP393" s="1294"/>
      <c r="AQ393" s="1294"/>
      <c r="AR393" s="1294">
        <f t="shared" si="403"/>
        <v>0</v>
      </c>
      <c r="AS393" s="1136"/>
      <c r="AT393" s="668">
        <f t="shared" si="400"/>
        <v>0</v>
      </c>
      <c r="AU393" s="463"/>
      <c r="AV393" s="468">
        <f t="shared" si="401"/>
        <v>0</v>
      </c>
      <c r="AW393" s="468">
        <f t="shared" si="399"/>
        <v>2000</v>
      </c>
      <c r="AX393" s="272"/>
      <c r="AY393" s="272"/>
      <c r="AZ393" s="272"/>
      <c r="BA393" s="272"/>
      <c r="BB393" s="272"/>
      <c r="BC393" s="437">
        <f>T396+U396+V396+-W397</f>
        <v>0</v>
      </c>
      <c r="BD393" s="437"/>
      <c r="BE393">
        <f t="shared" si="397"/>
        <v>46.666666666666664</v>
      </c>
      <c r="BF393" s="437">
        <f t="shared" si="398"/>
        <v>-53.333333333333336</v>
      </c>
    </row>
    <row r="394" spans="1:59" ht="39" customHeight="1">
      <c r="A394" s="1572"/>
      <c r="B394" s="1573"/>
      <c r="C394" s="1573"/>
      <c r="D394" s="1373" t="s">
        <v>319</v>
      </c>
      <c r="E394" s="1574"/>
      <c r="F394" s="1796">
        <v>613500</v>
      </c>
      <c r="G394" s="1837" t="s">
        <v>677</v>
      </c>
      <c r="H394" s="1575">
        <v>13000</v>
      </c>
      <c r="I394" s="1575"/>
      <c r="J394" s="1575"/>
      <c r="K394" s="1374">
        <v>13000</v>
      </c>
      <c r="L394" s="1577">
        <v>15000</v>
      </c>
      <c r="M394" s="1301"/>
      <c r="N394" s="1302"/>
      <c r="O394" s="1375">
        <f t="shared" si="415"/>
        <v>15000</v>
      </c>
      <c r="P394" s="1577">
        <v>22000</v>
      </c>
      <c r="Q394" s="1301"/>
      <c r="R394" s="1302"/>
      <c r="S394" s="1375">
        <f>SUM(P394:R394)</f>
        <v>22000</v>
      </c>
      <c r="T394" s="1577">
        <v>20000</v>
      </c>
      <c r="U394" s="1301"/>
      <c r="V394" s="1302"/>
      <c r="W394" s="1375">
        <f t="shared" si="416"/>
        <v>20000</v>
      </c>
      <c r="X394" s="1578">
        <f t="shared" si="417"/>
        <v>133.33333333333331</v>
      </c>
      <c r="Y394" s="2457"/>
      <c r="Z394" s="1136"/>
      <c r="AA394" s="1136"/>
      <c r="AB394" s="1293">
        <f t="shared" si="409"/>
        <v>0</v>
      </c>
      <c r="AC394" s="1293">
        <f t="shared" si="413"/>
        <v>0</v>
      </c>
      <c r="AD394" s="1293">
        <f t="shared" si="418"/>
        <v>5000</v>
      </c>
      <c r="AE394" s="1293">
        <f t="shared" si="412"/>
        <v>0</v>
      </c>
      <c r="AF394" s="1294"/>
      <c r="AG394" s="1294"/>
      <c r="AH394" s="1294">
        <f t="shared" si="414"/>
        <v>5000</v>
      </c>
      <c r="AI394" s="1294">
        <f>'[8]PRIH REBALANS'!$AG$927</f>
        <v>20000</v>
      </c>
      <c r="AJ394" s="1293">
        <f t="shared" si="419"/>
        <v>0</v>
      </c>
      <c r="AK394" s="1294"/>
      <c r="AL394" s="1294"/>
      <c r="AM394" s="1294"/>
      <c r="AN394" s="1294"/>
      <c r="AO394" s="1294"/>
      <c r="AP394" s="1294"/>
      <c r="AQ394" s="1294"/>
      <c r="AR394" s="1294">
        <f t="shared" si="403"/>
        <v>0</v>
      </c>
      <c r="AS394" s="1136"/>
      <c r="AT394" s="668">
        <f t="shared" si="400"/>
        <v>-5000</v>
      </c>
      <c r="AU394" s="674" t="s">
        <v>1560</v>
      </c>
      <c r="AV394" s="468">
        <f t="shared" si="401"/>
        <v>-5000</v>
      </c>
      <c r="AW394" s="468">
        <f t="shared" si="399"/>
        <v>12000</v>
      </c>
      <c r="AX394" s="272"/>
      <c r="AY394" s="272"/>
      <c r="AZ394" s="272"/>
      <c r="BA394" s="272"/>
      <c r="BB394" s="272"/>
      <c r="BC394" s="437">
        <f>T397+U397+V397+-W398</f>
        <v>-5000</v>
      </c>
      <c r="BD394" s="437"/>
      <c r="BE394">
        <f t="shared" si="397"/>
        <v>8.064516129032258</v>
      </c>
      <c r="BF394" s="437">
        <f t="shared" si="398"/>
        <v>-76.274013887285463</v>
      </c>
    </row>
    <row r="395" spans="1:59" ht="39" customHeight="1">
      <c r="A395" s="1572"/>
      <c r="B395" s="1573"/>
      <c r="C395" s="1573"/>
      <c r="D395" s="1373" t="s">
        <v>319</v>
      </c>
      <c r="E395" s="1373"/>
      <c r="F395" s="1799">
        <v>613900</v>
      </c>
      <c r="G395" s="1840" t="s">
        <v>180</v>
      </c>
      <c r="H395" s="1380">
        <f t="shared" ref="H395:J395" si="420">SUM(H396:H399)</f>
        <v>10000</v>
      </c>
      <c r="I395" s="1380">
        <f t="shared" si="420"/>
        <v>0</v>
      </c>
      <c r="J395" s="1380">
        <f t="shared" si="420"/>
        <v>0</v>
      </c>
      <c r="K395" s="1381" t="e">
        <f>SUM(K396:K399)</f>
        <v>#REF!</v>
      </c>
      <c r="L395" s="1601">
        <f t="shared" ref="L395:O395" si="421">SUM(L396:L399)</f>
        <v>12400</v>
      </c>
      <c r="M395" s="1303">
        <f t="shared" si="421"/>
        <v>0</v>
      </c>
      <c r="N395" s="1304">
        <f t="shared" si="421"/>
        <v>0</v>
      </c>
      <c r="O395" s="1336">
        <f t="shared" si="421"/>
        <v>12400</v>
      </c>
      <c r="P395" s="1601">
        <f>SUM(P396:P399)</f>
        <v>12000</v>
      </c>
      <c r="Q395" s="1303"/>
      <c r="R395" s="1304"/>
      <c r="S395" s="1336">
        <f t="shared" ref="S395" si="422">SUM(S396:S399)</f>
        <v>12000</v>
      </c>
      <c r="T395" s="1601">
        <f>SUM(T396:T399)</f>
        <v>12000</v>
      </c>
      <c r="U395" s="1303"/>
      <c r="V395" s="1304"/>
      <c r="W395" s="1336">
        <f>SUM(W396:W399)</f>
        <v>12000</v>
      </c>
      <c r="X395" s="1578">
        <f t="shared" si="417"/>
        <v>96.774193548387103</v>
      </c>
      <c r="Y395" s="2457">
        <f>'[1]PRIH REBALANS'!$AK$928</f>
        <v>12000</v>
      </c>
      <c r="Z395" s="1136"/>
      <c r="AA395" s="1136">
        <f>'[1]PRIH REBALANS'!$AG$928</f>
        <v>12000</v>
      </c>
      <c r="AB395" s="1293">
        <f t="shared" si="409"/>
        <v>0</v>
      </c>
      <c r="AC395" s="1293">
        <f t="shared" si="413"/>
        <v>0</v>
      </c>
      <c r="AD395" s="1293">
        <f t="shared" si="418"/>
        <v>-400</v>
      </c>
      <c r="AE395" s="1293">
        <f t="shared" si="412"/>
        <v>0</v>
      </c>
      <c r="AF395" s="1294"/>
      <c r="AG395" s="1294"/>
      <c r="AH395" s="1294">
        <f t="shared" si="414"/>
        <v>-400</v>
      </c>
      <c r="AI395" s="1294">
        <f>'[8]PRIH REBALANS'!$AK$928</f>
        <v>14000</v>
      </c>
      <c r="AJ395" s="1293">
        <f t="shared" si="419"/>
        <v>0</v>
      </c>
      <c r="AK395" s="1294"/>
      <c r="AL395" s="1294"/>
      <c r="AM395" s="1294"/>
      <c r="AN395" s="1294"/>
      <c r="AO395" s="1294"/>
      <c r="AP395" s="1294"/>
      <c r="AQ395" s="1294">
        <f>SUM(W396:W399)</f>
        <v>12000</v>
      </c>
      <c r="AR395" s="1294">
        <f t="shared" si="403"/>
        <v>0</v>
      </c>
      <c r="AS395" s="1136">
        <f>SUM(W400:W403)</f>
        <v>1414762</v>
      </c>
      <c r="AT395" s="668">
        <f t="shared" si="400"/>
        <v>6000</v>
      </c>
      <c r="AU395" s="463">
        <f>SUM(W400:W403)</f>
        <v>1414762</v>
      </c>
      <c r="AV395" s="468">
        <f t="shared" si="401"/>
        <v>6000</v>
      </c>
      <c r="AW395" s="468">
        <f t="shared" si="399"/>
        <v>-5000</v>
      </c>
      <c r="AX395" s="463"/>
      <c r="AY395" s="463"/>
      <c r="AZ395" s="463"/>
      <c r="BA395" s="463"/>
      <c r="BB395" s="463"/>
      <c r="BC395" s="437">
        <f>'[2]PRIH REBALANS'!$AK$942</f>
        <v>12400</v>
      </c>
      <c r="BD395" s="437"/>
      <c r="BE395">
        <f t="shared" si="397"/>
        <v>59515.549999999996</v>
      </c>
      <c r="BF395" s="437">
        <f t="shared" si="398"/>
        <v>59266.159999999996</v>
      </c>
      <c r="BG395" s="209">
        <f>SUM(W400:W403)</f>
        <v>1414762</v>
      </c>
    </row>
    <row r="396" spans="1:59" ht="39" customHeight="1">
      <c r="A396" s="1572"/>
      <c r="B396" s="1573"/>
      <c r="C396" s="1573"/>
      <c r="D396" s="1373" t="s">
        <v>319</v>
      </c>
      <c r="E396" s="1574"/>
      <c r="F396" s="1797">
        <v>613914</v>
      </c>
      <c r="G396" s="1837" t="s">
        <v>224</v>
      </c>
      <c r="H396" s="1575">
        <v>2000</v>
      </c>
      <c r="I396" s="1575"/>
      <c r="J396" s="1575"/>
      <c r="K396" s="1381">
        <v>2000</v>
      </c>
      <c r="L396" s="1577">
        <v>2000</v>
      </c>
      <c r="M396" s="1301"/>
      <c r="N396" s="1302"/>
      <c r="O396" s="1375">
        <f>SUM(L396:N396)</f>
        <v>2000</v>
      </c>
      <c r="P396" s="1577">
        <v>2000</v>
      </c>
      <c r="Q396" s="1301"/>
      <c r="R396" s="1302"/>
      <c r="S396" s="1375">
        <f>SUM(P396:R396)</f>
        <v>2000</v>
      </c>
      <c r="T396" s="1577">
        <v>2000</v>
      </c>
      <c r="U396" s="1301"/>
      <c r="V396" s="1302"/>
      <c r="W396" s="1375">
        <f>SUM(T396:V396)</f>
        <v>2000</v>
      </c>
      <c r="X396" s="1578">
        <f t="shared" si="417"/>
        <v>100</v>
      </c>
      <c r="Y396" s="2457"/>
      <c r="Z396" s="1136"/>
      <c r="AA396" s="1136"/>
      <c r="AB396" s="1293">
        <f t="shared" si="409"/>
        <v>0</v>
      </c>
      <c r="AC396" s="1293">
        <f t="shared" si="413"/>
        <v>0</v>
      </c>
      <c r="AD396" s="1293">
        <f t="shared" si="418"/>
        <v>0</v>
      </c>
      <c r="AE396" s="1293">
        <f t="shared" si="412"/>
        <v>0</v>
      </c>
      <c r="AF396" s="1294"/>
      <c r="AG396" s="1294"/>
      <c r="AH396" s="1294">
        <f t="shared" si="414"/>
        <v>0</v>
      </c>
      <c r="AI396" s="1294">
        <f>'[8]PRIH REBALANS'!$AG$929</f>
        <v>2000</v>
      </c>
      <c r="AJ396" s="1293">
        <f t="shared" si="419"/>
        <v>0</v>
      </c>
      <c r="AK396" s="1294"/>
      <c r="AL396" s="1294"/>
      <c r="AM396" s="1294"/>
      <c r="AN396" s="1294"/>
      <c r="AO396" s="1294"/>
      <c r="AP396" s="1294"/>
      <c r="AQ396" s="1294"/>
      <c r="AR396" s="1294">
        <f t="shared" si="403"/>
        <v>0</v>
      </c>
      <c r="AS396" s="1136"/>
      <c r="AT396" s="668">
        <f t="shared" si="400"/>
        <v>-1189311</v>
      </c>
      <c r="AU396" s="463"/>
      <c r="AV396" s="468">
        <f t="shared" si="401"/>
        <v>-1189311</v>
      </c>
      <c r="AW396" s="468">
        <f t="shared" si="399"/>
        <v>2379622</v>
      </c>
      <c r="AX396" s="272"/>
      <c r="AY396" s="272"/>
      <c r="AZ396" s="272"/>
      <c r="BA396" s="272"/>
      <c r="BB396" s="272"/>
      <c r="BC396" s="437">
        <f>T399+U399+V399+-W400</f>
        <v>-1189311</v>
      </c>
      <c r="BD396" s="437"/>
      <c r="BE396">
        <f t="shared" si="397"/>
        <v>9758.7391304347839</v>
      </c>
      <c r="BF396" s="437">
        <f t="shared" si="398"/>
        <v>9758.7391304347839</v>
      </c>
    </row>
    <row r="397" spans="1:59" ht="39" customHeight="1">
      <c r="A397" s="1572"/>
      <c r="B397" s="1573"/>
      <c r="C397" s="1573"/>
      <c r="D397" s="1373" t="s">
        <v>319</v>
      </c>
      <c r="E397" s="1606" t="s">
        <v>497</v>
      </c>
      <c r="F397" s="1797">
        <v>613920</v>
      </c>
      <c r="G397" s="1837" t="s">
        <v>568</v>
      </c>
      <c r="H397" s="1575">
        <v>0</v>
      </c>
      <c r="I397" s="1575"/>
      <c r="J397" s="1575"/>
      <c r="K397" s="1374" t="e">
        <f>SUM(#REF!)</f>
        <v>#REF!</v>
      </c>
      <c r="L397" s="1577">
        <v>2300</v>
      </c>
      <c r="M397" s="1301"/>
      <c r="N397" s="1302"/>
      <c r="O397" s="1375">
        <f t="shared" ref="O397:O399" si="423">SUM(L397:N397)</f>
        <v>2300</v>
      </c>
      <c r="P397" s="1577">
        <v>2000</v>
      </c>
      <c r="Q397" s="1301"/>
      <c r="R397" s="1302"/>
      <c r="S397" s="1375">
        <f>SUM(P397:R397)</f>
        <v>2000</v>
      </c>
      <c r="T397" s="1577">
        <v>2000</v>
      </c>
      <c r="U397" s="1301"/>
      <c r="V397" s="1302"/>
      <c r="W397" s="1375">
        <f t="shared" ref="W397:W399" si="424">SUM(T397:V397)</f>
        <v>2000</v>
      </c>
      <c r="X397" s="1578">
        <f t="shared" si="417"/>
        <v>86.956521739130437</v>
      </c>
      <c r="Y397" s="2457"/>
      <c r="Z397" s="1136"/>
      <c r="AA397" s="1136"/>
      <c r="AB397" s="1293">
        <f t="shared" si="409"/>
        <v>0</v>
      </c>
      <c r="AC397" s="1293">
        <f t="shared" si="413"/>
        <v>0</v>
      </c>
      <c r="AD397" s="1293">
        <f t="shared" si="418"/>
        <v>-300</v>
      </c>
      <c r="AE397" s="1293">
        <f t="shared" si="412"/>
        <v>0</v>
      </c>
      <c r="AF397" s="1294"/>
      <c r="AG397" s="1294"/>
      <c r="AH397" s="1294">
        <f t="shared" si="414"/>
        <v>-300</v>
      </c>
      <c r="AI397" s="1294">
        <f>T397+U397+V397-W397</f>
        <v>0</v>
      </c>
      <c r="AJ397" s="1293">
        <f t="shared" si="419"/>
        <v>0</v>
      </c>
      <c r="AK397" s="1294"/>
      <c r="AL397" s="1294"/>
      <c r="AM397" s="1294"/>
      <c r="AN397" s="1294"/>
      <c r="AO397" s="1294"/>
      <c r="AP397" s="1294"/>
      <c r="AQ397" s="1294"/>
      <c r="AR397" s="1294">
        <f t="shared" si="403"/>
        <v>0</v>
      </c>
      <c r="AS397" s="1136"/>
      <c r="AT397" s="668">
        <f t="shared" si="400"/>
        <v>965860</v>
      </c>
      <c r="AU397" s="463"/>
      <c r="AV397" s="468">
        <f t="shared" si="401"/>
        <v>965860</v>
      </c>
      <c r="AW397" s="468">
        <f t="shared" si="399"/>
        <v>-741409</v>
      </c>
      <c r="AX397" s="272"/>
      <c r="AY397" s="272"/>
      <c r="AZ397" s="272"/>
      <c r="BA397" s="272"/>
      <c r="BB397" s="272"/>
      <c r="BC397" s="437">
        <f>T400+U400+V400+-W401</f>
        <v>965860</v>
      </c>
      <c r="BD397" s="437"/>
      <c r="BE397">
        <f t="shared" si="397"/>
        <v>0</v>
      </c>
      <c r="BF397" s="437">
        <f t="shared" si="398"/>
        <v>0</v>
      </c>
    </row>
    <row r="398" spans="1:59" ht="39" customHeight="1">
      <c r="A398" s="1572"/>
      <c r="B398" s="1573"/>
      <c r="C398" s="1573"/>
      <c r="D398" s="1373" t="s">
        <v>319</v>
      </c>
      <c r="E398" s="1606"/>
      <c r="F398" s="1796">
        <v>613983</v>
      </c>
      <c r="G398" s="1838" t="s">
        <v>705</v>
      </c>
      <c r="H398" s="1608">
        <v>7000</v>
      </c>
      <c r="I398" s="1575"/>
      <c r="J398" s="1575"/>
      <c r="K398" s="1374">
        <f>SUM(H404:J404)</f>
        <v>5755</v>
      </c>
      <c r="L398" s="1627">
        <v>7100</v>
      </c>
      <c r="M398" s="1301"/>
      <c r="N398" s="1302"/>
      <c r="O398" s="1375">
        <f t="shared" si="423"/>
        <v>7100</v>
      </c>
      <c r="P398" s="1627">
        <v>7000</v>
      </c>
      <c r="Q398" s="1301"/>
      <c r="R398" s="1302"/>
      <c r="S398" s="1375">
        <f>SUM(P398:R398)</f>
        <v>7000</v>
      </c>
      <c r="T398" s="1627">
        <v>7000</v>
      </c>
      <c r="U398" s="1301"/>
      <c r="V398" s="1302"/>
      <c r="W398" s="1375">
        <f t="shared" si="424"/>
        <v>7000</v>
      </c>
      <c r="X398" s="1578">
        <f t="shared" si="417"/>
        <v>98.591549295774655</v>
      </c>
      <c r="Y398" s="2457"/>
      <c r="Z398" s="1136"/>
      <c r="AA398" s="1136"/>
      <c r="AB398" s="1293">
        <f t="shared" si="409"/>
        <v>0</v>
      </c>
      <c r="AC398" s="1293">
        <f t="shared" si="413"/>
        <v>0</v>
      </c>
      <c r="AD398" s="1293">
        <f t="shared" si="418"/>
        <v>-100</v>
      </c>
      <c r="AE398" s="1293">
        <f t="shared" si="412"/>
        <v>0</v>
      </c>
      <c r="AF398" s="1294"/>
      <c r="AG398" s="1294"/>
      <c r="AH398" s="1294">
        <f t="shared" si="414"/>
        <v>-100</v>
      </c>
      <c r="AI398" s="1294">
        <f>T398+U398+V398-W398</f>
        <v>0</v>
      </c>
      <c r="AJ398" s="1293">
        <f t="shared" si="419"/>
        <v>0</v>
      </c>
      <c r="AK398" s="1294"/>
      <c r="AL398" s="1294"/>
      <c r="AM398" s="1294"/>
      <c r="AN398" s="1294"/>
      <c r="AO398" s="1294"/>
      <c r="AP398" s="1294"/>
      <c r="AQ398" s="1294"/>
      <c r="AR398" s="1294">
        <f t="shared" si="403"/>
        <v>0</v>
      </c>
      <c r="AS398" s="1136"/>
      <c r="AT398" s="668">
        <f t="shared" si="400"/>
        <v>224451</v>
      </c>
      <c r="AU398" s="463"/>
      <c r="AV398" s="468">
        <f t="shared" si="401"/>
        <v>224451</v>
      </c>
      <c r="AW398" s="468">
        <f t="shared" si="399"/>
        <v>-224451</v>
      </c>
      <c r="AX398" s="272"/>
      <c r="AY398" s="272"/>
      <c r="AZ398" s="272"/>
      <c r="BA398" s="272"/>
      <c r="BB398" s="272"/>
      <c r="BC398" s="437">
        <f>T401+U401+V401+-W402</f>
        <v>224451</v>
      </c>
      <c r="BD398" s="437"/>
      <c r="BE398">
        <f t="shared" si="397"/>
        <v>0</v>
      </c>
      <c r="BF398" s="437">
        <f t="shared" si="398"/>
        <v>0</v>
      </c>
    </row>
    <row r="399" spans="1:59" ht="39" customHeight="1">
      <c r="A399" s="1572"/>
      <c r="B399" s="1573"/>
      <c r="C399" s="1573"/>
      <c r="D399" s="1373" t="s">
        <v>319</v>
      </c>
      <c r="E399" s="1604"/>
      <c r="F399" s="1797">
        <v>613991</v>
      </c>
      <c r="G399" s="1837" t="s">
        <v>235</v>
      </c>
      <c r="H399" s="1575">
        <v>1000</v>
      </c>
      <c r="I399" s="1575"/>
      <c r="J399" s="1575"/>
      <c r="K399" s="1374">
        <f>SUM(H406:J406)</f>
        <v>10000</v>
      </c>
      <c r="L399" s="1577">
        <v>1000</v>
      </c>
      <c r="M399" s="1301"/>
      <c r="N399" s="1302"/>
      <c r="O399" s="1375">
        <f t="shared" si="423"/>
        <v>1000</v>
      </c>
      <c r="P399" s="1577">
        <v>1000</v>
      </c>
      <c r="Q399" s="1301"/>
      <c r="R399" s="1302"/>
      <c r="S399" s="1375">
        <f>SUM(P399:R399)</f>
        <v>1000</v>
      </c>
      <c r="T399" s="1577">
        <v>1000</v>
      </c>
      <c r="U399" s="1301"/>
      <c r="V399" s="1302"/>
      <c r="W399" s="1375">
        <f t="shared" si="424"/>
        <v>1000</v>
      </c>
      <c r="X399" s="1578">
        <f t="shared" si="417"/>
        <v>100</v>
      </c>
      <c r="Y399" s="2457"/>
      <c r="Z399" s="1136"/>
      <c r="AA399" s="1136"/>
      <c r="AB399" s="1293">
        <f t="shared" si="409"/>
        <v>0</v>
      </c>
      <c r="AC399" s="1293">
        <f t="shared" si="413"/>
        <v>0</v>
      </c>
      <c r="AD399" s="1293">
        <f t="shared" si="418"/>
        <v>0</v>
      </c>
      <c r="AE399" s="1293">
        <f t="shared" si="412"/>
        <v>0</v>
      </c>
      <c r="AF399" s="1294"/>
      <c r="AG399" s="1294"/>
      <c r="AH399" s="1294">
        <f t="shared" si="414"/>
        <v>0</v>
      </c>
      <c r="AI399" s="1294">
        <f>T399+U399+V399-W399</f>
        <v>0</v>
      </c>
      <c r="AJ399" s="1293">
        <f t="shared" si="419"/>
        <v>0</v>
      </c>
      <c r="AK399" s="1294"/>
      <c r="AL399" s="1294"/>
      <c r="AM399" s="1294"/>
      <c r="AN399" s="1294"/>
      <c r="AO399" s="1294"/>
      <c r="AP399" s="1294"/>
      <c r="AQ399" s="1294"/>
      <c r="AR399" s="1294">
        <f t="shared" si="403"/>
        <v>0</v>
      </c>
      <c r="AS399" s="1136"/>
      <c r="AT399" s="668">
        <f t="shared" si="400"/>
        <v>0</v>
      </c>
      <c r="AU399" s="463"/>
      <c r="AV399" s="468">
        <f t="shared" si="401"/>
        <v>0</v>
      </c>
      <c r="AW399" s="468">
        <f t="shared" si="399"/>
        <v>0</v>
      </c>
      <c r="AX399" s="272"/>
      <c r="AY399" s="272"/>
      <c r="AZ399" s="272"/>
      <c r="BA399" s="272"/>
      <c r="BB399" s="272"/>
      <c r="BC399" s="437">
        <f>T402+U402+V402+-W403</f>
        <v>0</v>
      </c>
      <c r="BD399" s="437"/>
      <c r="BE399">
        <f t="shared" si="397"/>
        <v>0</v>
      </c>
      <c r="BF399" s="437">
        <f t="shared" si="398"/>
        <v>-436.68799999999999</v>
      </c>
    </row>
    <row r="400" spans="1:59" ht="39" customHeight="1">
      <c r="A400" s="1594" t="s">
        <v>596</v>
      </c>
      <c r="B400" s="1618"/>
      <c r="C400" s="1618"/>
      <c r="D400" s="1677"/>
      <c r="E400" s="1677"/>
      <c r="F400" s="1818"/>
      <c r="G400" s="1861" t="s">
        <v>656</v>
      </c>
      <c r="H400" s="1619" t="e">
        <f>SUM(H401,#REF!)</f>
        <v>#REF!</v>
      </c>
      <c r="I400" s="1619" t="e">
        <f>SUM(I401,#REF!)</f>
        <v>#REF!</v>
      </c>
      <c r="J400" s="1619" t="e">
        <f>SUM(J401,#REF!)</f>
        <v>#REF!</v>
      </c>
      <c r="K400" s="1585">
        <f>L401+L404+L406+L407</f>
        <v>963000</v>
      </c>
      <c r="L400" s="1620">
        <f>SUM(L401:L407)</f>
        <v>963000</v>
      </c>
      <c r="M400" s="1313">
        <f>SUM(M401:M404)</f>
        <v>0</v>
      </c>
      <c r="N400" s="1314">
        <f>SUM(N401:N408)</f>
        <v>448349</v>
      </c>
      <c r="O400" s="1335">
        <f>SUM(O401:O407,O408)</f>
        <v>1411349</v>
      </c>
      <c r="P400" s="1620">
        <f>SUM(P401:P408)</f>
        <v>943000</v>
      </c>
      <c r="Q400" s="1313"/>
      <c r="R400" s="1314">
        <f>SUM(R401:R405)</f>
        <v>761609</v>
      </c>
      <c r="S400" s="1335">
        <f>SUM(S401:S408)</f>
        <v>1704609</v>
      </c>
      <c r="T400" s="1620">
        <f>SUM(T401:T408)</f>
        <v>533000</v>
      </c>
      <c r="U400" s="1313"/>
      <c r="V400" s="1314">
        <f>SUM(V401:V405)</f>
        <v>657311</v>
      </c>
      <c r="W400" s="1315">
        <f>SUM(W401:W408)</f>
        <v>1190311</v>
      </c>
      <c r="X400" s="1598">
        <f t="shared" si="417"/>
        <v>84.338530016317719</v>
      </c>
      <c r="Y400" s="758">
        <f>'[1]PRIH REBALANS'!$AK$933</f>
        <v>1190311</v>
      </c>
      <c r="Z400" s="1135">
        <f>'Služba za privredu-Prilog br.9'!P6</f>
        <v>1190311</v>
      </c>
      <c r="AA400" s="1135">
        <f>'[9]PRIH REBALANS'!$AK$933</f>
        <v>1190311</v>
      </c>
      <c r="AB400" s="1293">
        <f t="shared" si="409"/>
        <v>0</v>
      </c>
      <c r="AC400" s="1293">
        <f t="shared" si="413"/>
        <v>0</v>
      </c>
      <c r="AD400" s="1293">
        <f t="shared" si="418"/>
        <v>-221038</v>
      </c>
      <c r="AE400" s="1293">
        <f t="shared" si="412"/>
        <v>0</v>
      </c>
      <c r="AF400" s="1293"/>
      <c r="AG400" s="1293"/>
      <c r="AH400" s="1294">
        <f t="shared" si="414"/>
        <v>-430000</v>
      </c>
      <c r="AI400" s="1294">
        <f>'[8]PRIH REBALANS'!$AK$933</f>
        <v>1090311</v>
      </c>
      <c r="AJ400" s="1293">
        <f t="shared" si="419"/>
        <v>0</v>
      </c>
      <c r="AK400" s="1294"/>
      <c r="AL400" s="1294"/>
      <c r="AM400" s="1294"/>
      <c r="AN400" s="1294"/>
      <c r="AO400" s="1294"/>
      <c r="AP400" s="1294"/>
      <c r="AQ400" s="1293">
        <f>SUM(W401:W408)</f>
        <v>1190311</v>
      </c>
      <c r="AR400" s="1294">
        <f t="shared" si="403"/>
        <v>0</v>
      </c>
      <c r="AS400" s="1135">
        <f>SUM(W405:W412)</f>
        <v>17500660</v>
      </c>
      <c r="AT400" s="668">
        <f t="shared" si="400"/>
        <v>0</v>
      </c>
      <c r="AU400" s="668">
        <f>'Služba za privredu-Prilog br.9'!H6</f>
        <v>1349914</v>
      </c>
      <c r="AV400" s="468">
        <f t="shared" si="401"/>
        <v>0</v>
      </c>
      <c r="AW400" s="468">
        <f t="shared" si="399"/>
        <v>0</v>
      </c>
      <c r="AX400" s="668"/>
      <c r="AY400" s="668"/>
      <c r="AZ400" s="668"/>
      <c r="BA400" s="668"/>
      <c r="BB400" s="668"/>
      <c r="BC400" s="437">
        <f>'[2]PRIH REBALANS'!$AK$947</f>
        <v>1411349</v>
      </c>
      <c r="BD400" s="437">
        <f>BC400-W404</f>
        <v>1411349</v>
      </c>
      <c r="BE400">
        <f t="shared" si="397"/>
        <v>606.51111111111118</v>
      </c>
      <c r="BF400" s="437">
        <f t="shared" si="398"/>
        <v>556.51111111111118</v>
      </c>
      <c r="BG400" s="209">
        <f>SUM(W405:W412)</f>
        <v>17500660</v>
      </c>
    </row>
    <row r="401" spans="1:59" ht="39" customHeight="1">
      <c r="A401" s="1572"/>
      <c r="B401" s="1573"/>
      <c r="C401" s="1573"/>
      <c r="D401" s="1604" t="s">
        <v>319</v>
      </c>
      <c r="E401" s="1604"/>
      <c r="F401" s="1822">
        <v>613900</v>
      </c>
      <c r="G401" s="1837" t="s">
        <v>235</v>
      </c>
      <c r="H401" s="1380">
        <f>SUM(H404:H407)</f>
        <v>20755</v>
      </c>
      <c r="I401" s="1380">
        <f>SUM(I404:I407)</f>
        <v>0</v>
      </c>
      <c r="J401" s="1380">
        <f>SUM(J404:J407)</f>
        <v>0</v>
      </c>
      <c r="K401" s="1678"/>
      <c r="L401" s="1610">
        <v>90000</v>
      </c>
      <c r="M401" s="1333"/>
      <c r="N401" s="1334"/>
      <c r="O401" s="1375">
        <f>L401+M401+N401</f>
        <v>90000</v>
      </c>
      <c r="P401" s="1610">
        <v>90000</v>
      </c>
      <c r="Q401" s="1333"/>
      <c r="R401" s="1334">
        <v>134451</v>
      </c>
      <c r="S401" s="1375">
        <f t="shared" ref="S401:S408" si="425">P401+Q401+R401</f>
        <v>224451</v>
      </c>
      <c r="T401" s="1610">
        <v>90000</v>
      </c>
      <c r="U401" s="1333"/>
      <c r="V401" s="1334">
        <v>134451</v>
      </c>
      <c r="W401" s="1375">
        <f>T401+U401+V401</f>
        <v>224451</v>
      </c>
      <c r="X401" s="1578">
        <f t="shared" si="417"/>
        <v>249.39</v>
      </c>
      <c r="Y401" s="2457">
        <f>'[1]PRIH REBALANS'!$AG$935+'[1]PRIH REBALANS'!$AG$936+'[1]PRIH REBALANS'!$AG$937+'[1]PRIH REBALANS'!$AG$938</f>
        <v>90000</v>
      </c>
      <c r="Z401" s="1136"/>
      <c r="AA401" s="1136"/>
      <c r="AB401" s="1293">
        <f t="shared" si="409"/>
        <v>0</v>
      </c>
      <c r="AC401" s="1293">
        <f t="shared" si="413"/>
        <v>0</v>
      </c>
      <c r="AD401" s="1293">
        <f t="shared" si="418"/>
        <v>134451</v>
      </c>
      <c r="AE401" s="1293">
        <f t="shared" si="412"/>
        <v>0</v>
      </c>
      <c r="AF401" s="1294"/>
      <c r="AG401" s="1294"/>
      <c r="AH401" s="1294">
        <f t="shared" si="414"/>
        <v>0</v>
      </c>
      <c r="AI401" s="1294">
        <f>'[8]PRIH REBALANS'!$AG$935+'[8]PRIH REBALANS'!$AG$936+'[8]PRIH REBALANS'!$AG$937+'[8]PRIH REBALANS'!$AG$938</f>
        <v>90000</v>
      </c>
      <c r="AJ401" s="1293">
        <f t="shared" si="419"/>
        <v>0</v>
      </c>
      <c r="AK401" s="1294"/>
      <c r="AL401" s="1294"/>
      <c r="AM401" s="1294"/>
      <c r="AN401" s="1294"/>
      <c r="AO401" s="1294"/>
      <c r="AP401" s="1294"/>
      <c r="AQ401" s="1294"/>
      <c r="AR401" s="1294">
        <f t="shared" si="403"/>
        <v>0</v>
      </c>
      <c r="AS401" s="1136"/>
      <c r="AT401" s="668">
        <f t="shared" si="400"/>
        <v>-545860</v>
      </c>
      <c r="AU401" s="463">
        <f>'Služba za privredu-Prilog br.9'!E6</f>
        <v>963000</v>
      </c>
      <c r="AV401" s="468">
        <f t="shared" si="401"/>
        <v>-545860</v>
      </c>
      <c r="AW401" s="468">
        <f t="shared" si="399"/>
        <v>1091720</v>
      </c>
      <c r="AX401" s="272"/>
      <c r="AY401" s="272"/>
      <c r="AZ401" s="272"/>
      <c r="BA401" s="272"/>
      <c r="BB401" s="272"/>
      <c r="BC401" s="437">
        <f>BC400-W404</f>
        <v>1411349</v>
      </c>
      <c r="BD401" s="437">
        <f>'[2]PRIH REBALANS'!$AI$972</f>
        <v>36234</v>
      </c>
      <c r="BF401" s="437"/>
    </row>
    <row r="402" spans="1:59" ht="39" customHeight="1">
      <c r="A402" s="1572"/>
      <c r="B402" s="1573"/>
      <c r="C402" s="1573"/>
      <c r="D402" s="1604" t="s">
        <v>337</v>
      </c>
      <c r="E402" s="1604"/>
      <c r="F402" s="1822">
        <v>613900</v>
      </c>
      <c r="G402" s="1837" t="s">
        <v>1482</v>
      </c>
      <c r="H402" s="1380"/>
      <c r="I402" s="1380"/>
      <c r="J402" s="1380"/>
      <c r="K402" s="1678"/>
      <c r="L402" s="1610"/>
      <c r="M402" s="1333"/>
      <c r="N402" s="1334">
        <v>36234</v>
      </c>
      <c r="O402" s="1375">
        <f>L402+M402+N402</f>
        <v>36234</v>
      </c>
      <c r="P402" s="1610">
        <v>23000</v>
      </c>
      <c r="Q402" s="1333"/>
      <c r="R402" s="1334">
        <v>0</v>
      </c>
      <c r="S402" s="1375">
        <f t="shared" si="425"/>
        <v>23000</v>
      </c>
      <c r="T402" s="1610"/>
      <c r="U402" s="1333"/>
      <c r="V402" s="1334">
        <v>0</v>
      </c>
      <c r="W402" s="1375">
        <f>T402+U402+V402</f>
        <v>0</v>
      </c>
      <c r="X402" s="1578">
        <f t="shared" si="417"/>
        <v>0</v>
      </c>
      <c r="Y402" s="2457"/>
      <c r="Z402" s="1136"/>
      <c r="AA402" s="1136"/>
      <c r="AB402" s="1293">
        <f t="shared" si="409"/>
        <v>0</v>
      </c>
      <c r="AC402" s="1293">
        <f t="shared" si="413"/>
        <v>0</v>
      </c>
      <c r="AD402" s="1293">
        <f t="shared" si="418"/>
        <v>-36234</v>
      </c>
      <c r="AE402" s="1293">
        <f t="shared" si="412"/>
        <v>0</v>
      </c>
      <c r="AF402" s="1294"/>
      <c r="AG402" s="1294"/>
      <c r="AH402" s="1294">
        <f t="shared" si="414"/>
        <v>0</v>
      </c>
      <c r="AI402" s="1294">
        <f>T402+U402+V402-W402</f>
        <v>0</v>
      </c>
      <c r="AJ402" s="1293">
        <f t="shared" si="419"/>
        <v>0</v>
      </c>
      <c r="AK402" s="1293"/>
      <c r="AL402" s="1293"/>
      <c r="AM402" s="1293"/>
      <c r="AN402" s="1293"/>
      <c r="AO402" s="1293"/>
      <c r="AP402" s="1293"/>
      <c r="AQ402" s="1294"/>
      <c r="AR402" s="1294">
        <f t="shared" si="403"/>
        <v>0</v>
      </c>
      <c r="AS402" s="1136"/>
      <c r="AT402" s="668">
        <f t="shared" si="400"/>
        <v>145860</v>
      </c>
      <c r="AU402" s="463">
        <f>'Služba za privredu-Prilog br.9'!G6</f>
        <v>386914</v>
      </c>
      <c r="AV402" s="468">
        <f t="shared" si="401"/>
        <v>145860</v>
      </c>
      <c r="AW402" s="468">
        <f t="shared" si="399"/>
        <v>254140</v>
      </c>
      <c r="AX402" s="272"/>
      <c r="AY402" s="272"/>
      <c r="AZ402" s="272"/>
      <c r="BA402" s="272"/>
      <c r="BB402" s="272"/>
      <c r="BC402" s="437"/>
      <c r="BD402" s="437"/>
      <c r="BF402" s="437"/>
    </row>
    <row r="403" spans="1:59" ht="39" customHeight="1">
      <c r="A403" s="1572"/>
      <c r="B403" s="1573"/>
      <c r="C403" s="1573"/>
      <c r="D403" s="1604" t="s">
        <v>337</v>
      </c>
      <c r="E403" s="1604"/>
      <c r="F403" s="1822">
        <v>613901</v>
      </c>
      <c r="G403" s="1837" t="s">
        <v>235</v>
      </c>
      <c r="H403" s="1380"/>
      <c r="I403" s="1380"/>
      <c r="J403" s="1380"/>
      <c r="K403" s="1678"/>
      <c r="L403" s="1610"/>
      <c r="M403" s="1333"/>
      <c r="N403" s="1334">
        <f>'[2]PRIH REBALANS'!$AJ$971</f>
        <v>39560</v>
      </c>
      <c r="O403" s="1375">
        <f t="shared" ref="O403:O408" si="426">L403+M403+N403</f>
        <v>39560</v>
      </c>
      <c r="P403" s="1610"/>
      <c r="Q403" s="1333"/>
      <c r="R403" s="1334"/>
      <c r="S403" s="1375">
        <f t="shared" si="425"/>
        <v>0</v>
      </c>
      <c r="T403" s="1610"/>
      <c r="U403" s="1333"/>
      <c r="V403" s="1334"/>
      <c r="W403" s="1375">
        <f t="shared" ref="W403:W408" si="427">T403+U403+V403</f>
        <v>0</v>
      </c>
      <c r="X403" s="1578">
        <f t="shared" si="417"/>
        <v>0</v>
      </c>
      <c r="Y403" s="2457"/>
      <c r="Z403" s="1136"/>
      <c r="AA403" s="1136"/>
      <c r="AB403" s="1293">
        <f t="shared" si="409"/>
        <v>0</v>
      </c>
      <c r="AC403" s="1293">
        <f t="shared" si="413"/>
        <v>0</v>
      </c>
      <c r="AD403" s="1293">
        <f t="shared" si="418"/>
        <v>-39560</v>
      </c>
      <c r="AE403" s="1293">
        <f t="shared" si="412"/>
        <v>0</v>
      </c>
      <c r="AF403" s="1294"/>
      <c r="AG403" s="1294"/>
      <c r="AH403" s="1294">
        <f t="shared" si="414"/>
        <v>0</v>
      </c>
      <c r="AI403" s="1294">
        <f>T403+U403+V403-W403</f>
        <v>0</v>
      </c>
      <c r="AJ403" s="1293">
        <f t="shared" si="419"/>
        <v>0</v>
      </c>
      <c r="AK403" s="1294"/>
      <c r="AL403" s="1294"/>
      <c r="AM403" s="1294"/>
      <c r="AN403" s="1294"/>
      <c r="AO403" s="1294"/>
      <c r="AP403" s="1294"/>
      <c r="AQ403" s="1294"/>
      <c r="AR403" s="1294">
        <f t="shared" si="403"/>
        <v>0</v>
      </c>
      <c r="AS403" s="1136"/>
      <c r="AT403" s="668">
        <f t="shared" si="400"/>
        <v>380000</v>
      </c>
      <c r="AU403" s="463"/>
      <c r="AV403" s="468">
        <f t="shared" si="401"/>
        <v>380000</v>
      </c>
      <c r="AW403" s="468">
        <f t="shared" si="399"/>
        <v>-360000</v>
      </c>
      <c r="AX403" s="272"/>
      <c r="AY403" s="272"/>
      <c r="AZ403" s="272"/>
      <c r="BA403" s="272"/>
      <c r="BB403" s="272"/>
      <c r="BC403" s="437"/>
      <c r="BD403" s="437"/>
      <c r="BE403">
        <f t="shared" ref="BE403:BE419" si="428">W408/O404*100</f>
        <v>0</v>
      </c>
      <c r="BF403" s="437">
        <f t="shared" ref="BF403:BF419" si="429">BE403-X409</f>
        <v>-81.042677803181334</v>
      </c>
    </row>
    <row r="404" spans="1:59" ht="39" customHeight="1">
      <c r="A404" s="1376"/>
      <c r="B404" s="1377"/>
      <c r="C404" s="1377"/>
      <c r="D404" s="1604" t="s">
        <v>337</v>
      </c>
      <c r="E404" s="1604"/>
      <c r="F404" s="1822">
        <v>614300</v>
      </c>
      <c r="G404" s="1850" t="s">
        <v>184</v>
      </c>
      <c r="H404" s="1575">
        <v>5755</v>
      </c>
      <c r="I404" s="1575"/>
      <c r="J404" s="1575"/>
      <c r="K404" s="1679"/>
      <c r="L404" s="1610">
        <v>43000</v>
      </c>
      <c r="M404" s="1333"/>
      <c r="N404" s="1334">
        <v>50000</v>
      </c>
      <c r="O404" s="1375">
        <f t="shared" si="426"/>
        <v>93000</v>
      </c>
      <c r="P404" s="1610">
        <v>310000</v>
      </c>
      <c r="Q404" s="1333"/>
      <c r="R404" s="1334">
        <v>0</v>
      </c>
      <c r="S404" s="1375">
        <f t="shared" si="425"/>
        <v>310000</v>
      </c>
      <c r="T404" s="1610"/>
      <c r="U404" s="1333"/>
      <c r="V404" s="1334">
        <v>0</v>
      </c>
      <c r="W404" s="1375">
        <f t="shared" si="427"/>
        <v>0</v>
      </c>
      <c r="X404" s="1578">
        <f t="shared" si="417"/>
        <v>0</v>
      </c>
      <c r="Y404" s="2457"/>
      <c r="Z404" s="1136"/>
      <c r="AA404" s="1136"/>
      <c r="AB404" s="1293">
        <f t="shared" si="409"/>
        <v>0</v>
      </c>
      <c r="AC404" s="1293">
        <f t="shared" si="413"/>
        <v>0</v>
      </c>
      <c r="AD404" s="1293">
        <f t="shared" si="418"/>
        <v>-93000</v>
      </c>
      <c r="AE404" s="1293">
        <f t="shared" si="412"/>
        <v>0</v>
      </c>
      <c r="AF404" s="1294"/>
      <c r="AG404" s="1294"/>
      <c r="AH404" s="1294">
        <f t="shared" si="414"/>
        <v>-43000</v>
      </c>
      <c r="AI404" s="1294">
        <f>T404+U404+V404-W404</f>
        <v>0</v>
      </c>
      <c r="AJ404" s="1293">
        <f t="shared" si="419"/>
        <v>0</v>
      </c>
      <c r="AK404" s="1294"/>
      <c r="AL404" s="1294"/>
      <c r="AM404" s="1294"/>
      <c r="AN404" s="1294"/>
      <c r="AO404" s="1294"/>
      <c r="AP404" s="1294"/>
      <c r="AQ404" s="1294"/>
      <c r="AR404" s="1294">
        <f t="shared" si="403"/>
        <v>0</v>
      </c>
      <c r="AS404" s="1136"/>
      <c r="AT404" s="668">
        <f t="shared" si="400"/>
        <v>20000</v>
      </c>
      <c r="AU404" s="463"/>
      <c r="AV404" s="468">
        <f t="shared" si="401"/>
        <v>20000</v>
      </c>
      <c r="AW404" s="468">
        <f t="shared" ref="AW404:AW426" si="430">W408-AV404</f>
        <v>-20000</v>
      </c>
      <c r="AX404" s="272"/>
      <c r="AY404" s="272"/>
      <c r="AZ404" s="272"/>
      <c r="BA404" s="272"/>
      <c r="BB404" s="272"/>
      <c r="BC404" s="437">
        <f>'[2]PRIH REBALANS'!$AG$953+'[2]PRIH REBALANS'!$AG$954+'[2]PRIH REBALANS'!$AG$955+'[2]PRIH REBALANS'!$AG$966</f>
        <v>43000</v>
      </c>
      <c r="BD404" s="437"/>
      <c r="BE404">
        <f t="shared" si="428"/>
        <v>8387.84</v>
      </c>
      <c r="BF404" s="437">
        <f t="shared" si="429"/>
        <v>8282.2623107569725</v>
      </c>
    </row>
    <row r="405" spans="1:59" ht="39" customHeight="1">
      <c r="A405" s="1376"/>
      <c r="B405" s="1377"/>
      <c r="C405" s="1377"/>
      <c r="D405" s="1604" t="s">
        <v>339</v>
      </c>
      <c r="E405" s="1604"/>
      <c r="F405" s="1822">
        <v>614300</v>
      </c>
      <c r="G405" s="1850" t="s">
        <v>773</v>
      </c>
      <c r="H405" s="1575"/>
      <c r="I405" s="1575"/>
      <c r="J405" s="1575"/>
      <c r="K405" s="1679"/>
      <c r="L405" s="1610"/>
      <c r="M405" s="1333"/>
      <c r="N405" s="1334">
        <v>125000</v>
      </c>
      <c r="O405" s="1375">
        <f t="shared" si="426"/>
        <v>125000</v>
      </c>
      <c r="P405" s="1610">
        <v>20000</v>
      </c>
      <c r="Q405" s="1333"/>
      <c r="R405" s="1337">
        <v>627158</v>
      </c>
      <c r="S405" s="1375">
        <f t="shared" si="425"/>
        <v>647158</v>
      </c>
      <c r="T405" s="1610">
        <v>23000</v>
      </c>
      <c r="U405" s="1333"/>
      <c r="V405" s="1337">
        <v>522860</v>
      </c>
      <c r="W405" s="1375">
        <f t="shared" si="427"/>
        <v>545860</v>
      </c>
      <c r="X405" s="1578">
        <f t="shared" si="417"/>
        <v>436.68799999999999</v>
      </c>
      <c r="Y405" s="2457">
        <f>'[1]PRIH REBALANS'!$AG$940+'[1]PRIH REBALANS'!$AG$941+'[1]PRIH REBALANS'!$AG$939</f>
        <v>23000</v>
      </c>
      <c r="Z405" s="1136">
        <f>'Služba za privredu-Prilog br.9'!M15</f>
        <v>23000</v>
      </c>
      <c r="AA405" s="1136"/>
      <c r="AB405" s="1293">
        <f t="shared" si="409"/>
        <v>0</v>
      </c>
      <c r="AC405" s="1293">
        <f t="shared" si="413"/>
        <v>0</v>
      </c>
      <c r="AD405" s="1293">
        <f t="shared" si="418"/>
        <v>420860</v>
      </c>
      <c r="AE405" s="1293">
        <f t="shared" si="412"/>
        <v>0</v>
      </c>
      <c r="AF405" s="1294"/>
      <c r="AG405" s="1294"/>
      <c r="AH405" s="1294">
        <f t="shared" si="414"/>
        <v>23000</v>
      </c>
      <c r="AI405" s="1294">
        <f>'[8]PRIH REBALANS'!$AG$939+'[8]PRIH REBALANS'!$AG$940+'[8]PRIH REBALANS'!$AG$941</f>
        <v>23000</v>
      </c>
      <c r="AJ405" s="1293">
        <f t="shared" si="419"/>
        <v>0</v>
      </c>
      <c r="AK405" s="1294"/>
      <c r="AL405" s="1294"/>
      <c r="AM405" s="1294"/>
      <c r="AN405" s="1294"/>
      <c r="AO405" s="1294"/>
      <c r="AP405" s="1294"/>
      <c r="AQ405" s="1294"/>
      <c r="AR405" s="1294">
        <f t="shared" si="403"/>
        <v>0</v>
      </c>
      <c r="AS405" s="1136"/>
      <c r="AT405" s="668">
        <f t="shared" ref="AT405:AT426" si="431">T408+U408+V408-W409</f>
        <v>-10484800</v>
      </c>
      <c r="AU405" s="463"/>
      <c r="AV405" s="468">
        <f t="shared" ref="AV405:AV426" si="432">T408+U408+V408-W409</f>
        <v>-10484800</v>
      </c>
      <c r="AW405" s="468">
        <f t="shared" si="430"/>
        <v>20969600</v>
      </c>
      <c r="AX405" s="272"/>
      <c r="AY405" s="272"/>
      <c r="AZ405" s="272"/>
      <c r="BA405" s="272"/>
      <c r="BB405" s="272"/>
      <c r="BC405" s="437"/>
      <c r="BD405" s="437"/>
      <c r="BE405">
        <f t="shared" si="428"/>
        <v>331.25</v>
      </c>
      <c r="BF405" s="437">
        <f t="shared" si="429"/>
        <v>219.88636363636363</v>
      </c>
    </row>
    <row r="406" spans="1:59" ht="39" customHeight="1">
      <c r="A406" s="1376"/>
      <c r="B406" s="1573"/>
      <c r="C406" s="1573"/>
      <c r="D406" s="1604" t="s">
        <v>319</v>
      </c>
      <c r="E406" s="1604"/>
      <c r="F406" s="1822">
        <v>614400</v>
      </c>
      <c r="G406" s="1850" t="s">
        <v>537</v>
      </c>
      <c r="H406" s="1575">
        <v>10000</v>
      </c>
      <c r="I406" s="1575"/>
      <c r="J406" s="1680"/>
      <c r="K406" s="1678"/>
      <c r="L406" s="1610">
        <v>800000</v>
      </c>
      <c r="M406" s="1333"/>
      <c r="N406" s="1334"/>
      <c r="O406" s="1375">
        <f t="shared" si="426"/>
        <v>800000</v>
      </c>
      <c r="P406" s="1610">
        <v>500000</v>
      </c>
      <c r="Q406" s="1333"/>
      <c r="R406" s="1334"/>
      <c r="S406" s="1375">
        <f t="shared" si="425"/>
        <v>500000</v>
      </c>
      <c r="T406" s="1610">
        <v>400000</v>
      </c>
      <c r="U406" s="1333"/>
      <c r="V406" s="1334"/>
      <c r="W406" s="1375">
        <f t="shared" si="427"/>
        <v>400000</v>
      </c>
      <c r="X406" s="1578">
        <f t="shared" si="417"/>
        <v>50</v>
      </c>
      <c r="Y406" s="2457">
        <f>'[1]PRIH REBALANS'!$AG$947+'[1]PRIH REBALANS'!$AG$948</f>
        <v>400000</v>
      </c>
      <c r="Z406" s="1136"/>
      <c r="AA406" s="1136">
        <f>'[1]PRIH REBALANS'!$AG$947+'[1]PRIH REBALANS'!$AG$948</f>
        <v>400000</v>
      </c>
      <c r="AB406" s="1293">
        <f t="shared" si="409"/>
        <v>0</v>
      </c>
      <c r="AC406" s="1293">
        <f t="shared" si="413"/>
        <v>0</v>
      </c>
      <c r="AD406" s="1293">
        <f t="shared" si="418"/>
        <v>-400000</v>
      </c>
      <c r="AE406" s="1293">
        <f t="shared" si="412"/>
        <v>0</v>
      </c>
      <c r="AF406" s="1294"/>
      <c r="AG406" s="1294"/>
      <c r="AH406" s="1294">
        <f t="shared" si="414"/>
        <v>-400000</v>
      </c>
      <c r="AI406" s="1294">
        <f>'[8]PRIH REBALANS'!$AG$947</f>
        <v>300000</v>
      </c>
      <c r="AJ406" s="1293">
        <f t="shared" si="419"/>
        <v>0</v>
      </c>
      <c r="AK406" s="1294"/>
      <c r="AL406" s="1294"/>
      <c r="AM406" s="1294"/>
      <c r="AN406" s="1294"/>
      <c r="AO406" s="1294"/>
      <c r="AP406" s="1294"/>
      <c r="AQ406" s="1294"/>
      <c r="AR406" s="1294">
        <f t="shared" si="403"/>
        <v>0</v>
      </c>
      <c r="AS406" s="1136"/>
      <c r="AT406" s="668">
        <f t="shared" si="431"/>
        <v>7834800</v>
      </c>
      <c r="AU406" s="463"/>
      <c r="AV406" s="468">
        <f t="shared" si="432"/>
        <v>7834800</v>
      </c>
      <c r="AW406" s="468">
        <f t="shared" si="430"/>
        <v>-5184800</v>
      </c>
      <c r="AX406" s="272"/>
      <c r="AY406" s="272"/>
      <c r="AZ406" s="272"/>
      <c r="BA406" s="272"/>
      <c r="BB406" s="272"/>
      <c r="BC406" s="437">
        <f>T409+U409+V409+-W410</f>
        <v>7834800</v>
      </c>
      <c r="BD406" s="437"/>
      <c r="BE406">
        <f t="shared" si="428"/>
        <v>1127.6940957159131</v>
      </c>
      <c r="BF406" s="437">
        <f t="shared" si="429"/>
        <v>1054.7827033108499</v>
      </c>
    </row>
    <row r="407" spans="1:59" ht="39" customHeight="1">
      <c r="A407" s="1674"/>
      <c r="B407" s="1377"/>
      <c r="C407" s="1377"/>
      <c r="D407" s="1604" t="s">
        <v>339</v>
      </c>
      <c r="E407" s="1604"/>
      <c r="F407" s="1822">
        <v>821000</v>
      </c>
      <c r="G407" s="1850" t="s">
        <v>236</v>
      </c>
      <c r="H407" s="1575">
        <v>5000</v>
      </c>
      <c r="I407" s="1575"/>
      <c r="J407" s="1575"/>
      <c r="K407" s="1678"/>
      <c r="L407" s="1610">
        <v>30000</v>
      </c>
      <c r="M407" s="1333"/>
      <c r="N407" s="1337">
        <v>143806</v>
      </c>
      <c r="O407" s="1375">
        <f t="shared" si="426"/>
        <v>173806</v>
      </c>
      <c r="P407" s="1610"/>
      <c r="Q407" s="1333"/>
      <c r="R407" s="1337"/>
      <c r="S407" s="1375">
        <f t="shared" si="425"/>
        <v>0</v>
      </c>
      <c r="T407" s="1610">
        <v>20000</v>
      </c>
      <c r="U407" s="1333"/>
      <c r="V407" s="1334"/>
      <c r="W407" s="1375">
        <f t="shared" si="427"/>
        <v>20000</v>
      </c>
      <c r="X407" s="1578">
        <f t="shared" si="417"/>
        <v>11.507082609346051</v>
      </c>
      <c r="Y407" s="2457">
        <f>'[1]PRIH REBALANS'!$AG$968</f>
        <v>20000</v>
      </c>
      <c r="Z407" s="1136"/>
      <c r="AA407" s="1136"/>
      <c r="AB407" s="1293">
        <f t="shared" si="409"/>
        <v>0</v>
      </c>
      <c r="AC407" s="1293">
        <f t="shared" si="413"/>
        <v>0</v>
      </c>
      <c r="AD407" s="1293">
        <f t="shared" si="418"/>
        <v>-153806</v>
      </c>
      <c r="AE407" s="1293">
        <f t="shared" si="412"/>
        <v>0</v>
      </c>
      <c r="AF407" s="1294"/>
      <c r="AG407" s="1294"/>
      <c r="AH407" s="1294">
        <f t="shared" si="414"/>
        <v>-10000</v>
      </c>
      <c r="AI407" s="1294">
        <f>T407+U407+V407-W407</f>
        <v>0</v>
      </c>
      <c r="AJ407" s="1293">
        <f t="shared" si="419"/>
        <v>0</v>
      </c>
      <c r="AK407" s="1294"/>
      <c r="AL407" s="1294"/>
      <c r="AM407" s="1294"/>
      <c r="AN407" s="1294"/>
      <c r="AO407" s="1294"/>
      <c r="AP407" s="1294"/>
      <c r="AQ407" s="1294"/>
      <c r="AR407" s="1294">
        <f t="shared" si="403"/>
        <v>0</v>
      </c>
      <c r="AS407" s="1136"/>
      <c r="AT407" s="668">
        <f t="shared" si="431"/>
        <v>690000</v>
      </c>
      <c r="AU407" s="463"/>
      <c r="AV407" s="468">
        <f t="shared" si="432"/>
        <v>690000</v>
      </c>
      <c r="AW407" s="468">
        <f t="shared" si="430"/>
        <v>1270000</v>
      </c>
      <c r="AX407" s="272"/>
      <c r="AY407" s="272"/>
      <c r="AZ407" s="272"/>
      <c r="BA407" s="272"/>
      <c r="BB407" s="272"/>
      <c r="BC407" s="437">
        <f>'[2]PRIH REBALANS'!$AJ$976+'[2]PRIH REBALANS'!$AJ$983</f>
        <v>143806</v>
      </c>
      <c r="BD407" s="437"/>
      <c r="BE407">
        <f t="shared" si="428"/>
        <v>2679.1196115276562</v>
      </c>
      <c r="BF407" s="437">
        <f t="shared" si="429"/>
        <v>2582.7246272016373</v>
      </c>
    </row>
    <row r="408" spans="1:59" ht="39" customHeight="1">
      <c r="A408" s="1674"/>
      <c r="B408" s="1377"/>
      <c r="C408" s="1377"/>
      <c r="D408" s="1604" t="s">
        <v>337</v>
      </c>
      <c r="E408" s="1604"/>
      <c r="F408" s="1822">
        <v>821000</v>
      </c>
      <c r="G408" s="1850" t="s">
        <v>735</v>
      </c>
      <c r="H408" s="1575"/>
      <c r="I408" s="1575"/>
      <c r="J408" s="1575"/>
      <c r="K408" s="1678"/>
      <c r="L408" s="1610"/>
      <c r="M408" s="1333"/>
      <c r="N408" s="1334">
        <v>53749</v>
      </c>
      <c r="O408" s="1375">
        <f t="shared" si="426"/>
        <v>53749</v>
      </c>
      <c r="P408" s="1610"/>
      <c r="Q408" s="1333"/>
      <c r="R408" s="1334"/>
      <c r="S408" s="1375">
        <f t="shared" si="425"/>
        <v>0</v>
      </c>
      <c r="T408" s="1610"/>
      <c r="U408" s="1333"/>
      <c r="V408" s="1334"/>
      <c r="W408" s="1375">
        <f t="shared" si="427"/>
        <v>0</v>
      </c>
      <c r="X408" s="1578">
        <f t="shared" si="417"/>
        <v>0</v>
      </c>
      <c r="Y408" s="2457"/>
      <c r="Z408" s="1136"/>
      <c r="AA408" s="1136"/>
      <c r="AB408" s="1293">
        <f t="shared" si="409"/>
        <v>0</v>
      </c>
      <c r="AC408" s="1293">
        <f t="shared" si="413"/>
        <v>0</v>
      </c>
      <c r="AD408" s="1293">
        <f t="shared" si="418"/>
        <v>-53749</v>
      </c>
      <c r="AE408" s="1293">
        <f t="shared" si="412"/>
        <v>0</v>
      </c>
      <c r="AF408" s="1294"/>
      <c r="AG408" s="1294"/>
      <c r="AH408" s="1294">
        <f t="shared" si="414"/>
        <v>0</v>
      </c>
      <c r="AI408" s="1294">
        <f>T408+U408+V408-W408</f>
        <v>0</v>
      </c>
      <c r="AJ408" s="1293">
        <f t="shared" si="419"/>
        <v>0</v>
      </c>
      <c r="AK408" s="1294"/>
      <c r="AL408" s="1294"/>
      <c r="AM408" s="1294"/>
      <c r="AN408" s="1294"/>
      <c r="AO408" s="1294"/>
      <c r="AP408" s="1294"/>
      <c r="AQ408" s="1294"/>
      <c r="AR408" s="1294">
        <f t="shared" ref="AR408:AR439" si="433">T408+U408+V408-W408</f>
        <v>0</v>
      </c>
      <c r="AS408" s="1136"/>
      <c r="AT408" s="668">
        <f t="shared" si="431"/>
        <v>520000</v>
      </c>
      <c r="AU408" s="463"/>
      <c r="AV408" s="468">
        <f t="shared" si="432"/>
        <v>520000</v>
      </c>
      <c r="AW408" s="468">
        <f t="shared" si="430"/>
        <v>920000</v>
      </c>
      <c r="AX408" s="463"/>
      <c r="AY408" s="463"/>
      <c r="AZ408" s="463"/>
      <c r="BA408" s="463"/>
      <c r="BB408" s="463"/>
      <c r="BC408" s="437">
        <f>'[2]PRIH REBALANS'!$AI$976</f>
        <v>53749</v>
      </c>
      <c r="BD408" s="437"/>
      <c r="BE408">
        <f t="shared" si="428"/>
        <v>23.768334564777831</v>
      </c>
      <c r="BF408" s="437">
        <f t="shared" si="429"/>
        <v>23.768334564777831</v>
      </c>
    </row>
    <row r="409" spans="1:59" s="286" customFormat="1" ht="39" customHeight="1">
      <c r="A409" s="1594" t="s">
        <v>597</v>
      </c>
      <c r="B409" s="1595"/>
      <c r="C409" s="1595"/>
      <c r="D409" s="1659"/>
      <c r="E409" s="1659"/>
      <c r="F409" s="1818"/>
      <c r="G409" s="1861" t="s">
        <v>598</v>
      </c>
      <c r="H409" s="1619"/>
      <c r="I409" s="1619"/>
      <c r="J409" s="1619"/>
      <c r="K409" s="1681" t="e">
        <f>SUM(K410:K423)</f>
        <v>#REF!</v>
      </c>
      <c r="L409" s="1620">
        <f>SUM(L410:L425)</f>
        <v>8068565</v>
      </c>
      <c r="M409" s="1313">
        <f>SUM(M410:M425)</f>
        <v>4099837</v>
      </c>
      <c r="N409" s="1314">
        <f>SUM(N410:N425)</f>
        <v>768979</v>
      </c>
      <c r="O409" s="1335">
        <f>SUM(O410:O425)</f>
        <v>12937381</v>
      </c>
      <c r="P409" s="1620">
        <f>SUM(P410:P422)</f>
        <v>9195000</v>
      </c>
      <c r="Q409" s="1313">
        <f>SUM(Q413+Q421+Q422)</f>
        <v>2800000</v>
      </c>
      <c r="R409" s="1314">
        <f>SUM(R419+R421)</f>
        <v>0</v>
      </c>
      <c r="S409" s="1335">
        <f>SUM(S410:S422)</f>
        <v>11995000</v>
      </c>
      <c r="T409" s="1620">
        <f>SUM(T410:T425)</f>
        <v>7759800</v>
      </c>
      <c r="U409" s="1313">
        <f t="shared" ref="U409:V409" si="434">SUM(U410:U425)</f>
        <v>2725000</v>
      </c>
      <c r="V409" s="1314">
        <f t="shared" si="434"/>
        <v>0</v>
      </c>
      <c r="W409" s="1315">
        <f>SUM(W410:W425)</f>
        <v>10484800</v>
      </c>
      <c r="X409" s="1641">
        <f t="shared" si="417"/>
        <v>81.042677803181334</v>
      </c>
      <c r="Y409" s="2458">
        <f>'Sl. za kom. posl.-Prilog br. 10'!P6</f>
        <v>10484800</v>
      </c>
      <c r="Z409" s="1139">
        <f>'[1]PRIH REBALANS'!$AK$973</f>
        <v>10484800</v>
      </c>
      <c r="AA409" s="1139">
        <f>'[9]PRIH REBALANS'!$AK$973</f>
        <v>10484800</v>
      </c>
      <c r="AB409" s="1293">
        <f t="shared" si="409"/>
        <v>0</v>
      </c>
      <c r="AC409" s="1293">
        <f t="shared" si="413"/>
        <v>0</v>
      </c>
      <c r="AD409" s="1293">
        <f t="shared" si="418"/>
        <v>-2452581</v>
      </c>
      <c r="AE409" s="1293">
        <f t="shared" si="412"/>
        <v>0</v>
      </c>
      <c r="AF409" s="1295"/>
      <c r="AG409" s="1295"/>
      <c r="AH409" s="1294">
        <f t="shared" si="414"/>
        <v>-308765</v>
      </c>
      <c r="AI409" s="1294">
        <f>'[8]PRIH REBALANS'!$AK$972</f>
        <v>11909800</v>
      </c>
      <c r="AJ409" s="1293">
        <f t="shared" si="419"/>
        <v>0</v>
      </c>
      <c r="AK409" s="1294"/>
      <c r="AL409" s="1294"/>
      <c r="AM409" s="1294"/>
      <c r="AN409" s="1294"/>
      <c r="AO409" s="1294"/>
      <c r="AP409" s="1294"/>
      <c r="AQ409" s="1293">
        <f>SUM(W410:W425)</f>
        <v>10484800</v>
      </c>
      <c r="AR409" s="1294">
        <f t="shared" si="433"/>
        <v>0</v>
      </c>
      <c r="AS409" s="1135">
        <f>SUM(W414:W429)</f>
        <v>2979800</v>
      </c>
      <c r="AT409" s="668">
        <f t="shared" si="431"/>
        <v>-1635000</v>
      </c>
      <c r="AU409" s="668">
        <f>'Sl. za kom. posl.-Prilog br. 10'!E6</f>
        <v>8068565</v>
      </c>
      <c r="AV409" s="468">
        <f t="shared" si="432"/>
        <v>-1635000</v>
      </c>
      <c r="AW409" s="468">
        <f t="shared" si="430"/>
        <v>4710000</v>
      </c>
      <c r="AX409" s="668">
        <f>AW409-W413</f>
        <v>1635000</v>
      </c>
      <c r="AY409" s="668"/>
      <c r="AZ409" s="668"/>
      <c r="BA409" s="668"/>
      <c r="BB409" s="668"/>
      <c r="BC409" s="456">
        <f>'[2]PRIH REBALANS'!$AK$986</f>
        <v>12937381</v>
      </c>
      <c r="BD409" s="456"/>
      <c r="BE409">
        <f t="shared" si="428"/>
        <v>0</v>
      </c>
      <c r="BF409" s="437">
        <f t="shared" si="429"/>
        <v>0</v>
      </c>
      <c r="BG409" s="467">
        <f>SUM(W414:W429)</f>
        <v>2979800</v>
      </c>
    </row>
    <row r="410" spans="1:59" ht="39" customHeight="1">
      <c r="A410" s="1572"/>
      <c r="B410" s="1573"/>
      <c r="C410" s="1573"/>
      <c r="D410" s="1604" t="s">
        <v>319</v>
      </c>
      <c r="E410" s="1604" t="s">
        <v>519</v>
      </c>
      <c r="F410" s="1822">
        <v>613200</v>
      </c>
      <c r="G410" s="1870" t="s">
        <v>599</v>
      </c>
      <c r="H410" s="1575">
        <f>SUM(H411:H423)</f>
        <v>5513000</v>
      </c>
      <c r="I410" s="1575">
        <f>SUM(I411:I419)</f>
        <v>0</v>
      </c>
      <c r="J410" s="1575">
        <f>SUM(J411:J419)</f>
        <v>0</v>
      </c>
      <c r="K410" s="1374">
        <f>H411+H412</f>
        <v>2520000</v>
      </c>
      <c r="L410" s="1577">
        <v>2510000</v>
      </c>
      <c r="M410" s="1301"/>
      <c r="N410" s="1302"/>
      <c r="O410" s="1375">
        <f>SUM(L410:N410)</f>
        <v>2510000</v>
      </c>
      <c r="P410" s="1577">
        <v>2850000</v>
      </c>
      <c r="Q410" s="1301"/>
      <c r="R410" s="1302"/>
      <c r="S410" s="1375">
        <f t="shared" ref="S410:S424" si="435">SUM(P410:R410)</f>
        <v>2850000</v>
      </c>
      <c r="T410" s="1577">
        <v>2650000</v>
      </c>
      <c r="U410" s="1301"/>
      <c r="V410" s="1302"/>
      <c r="W410" s="1375">
        <f>SUM(T410:V410)</f>
        <v>2650000</v>
      </c>
      <c r="X410" s="1578">
        <f t="shared" si="417"/>
        <v>105.57768924302789</v>
      </c>
      <c r="Y410" s="2457">
        <f>'[1]PRIH REBALANS'!$AG$975+'[1]PRIH REBALANS'!$AG$976</f>
        <v>2650000</v>
      </c>
      <c r="Z410" s="1136"/>
      <c r="AA410" s="1136">
        <f>'[9]PRIH REBALANS'!$AG$975+'[9]PRIH REBALANS'!$AG$976</f>
        <v>2650000</v>
      </c>
      <c r="AB410" s="1293">
        <f t="shared" si="409"/>
        <v>0</v>
      </c>
      <c r="AC410" s="1293">
        <f t="shared" si="413"/>
        <v>0</v>
      </c>
      <c r="AD410" s="1293">
        <f t="shared" si="418"/>
        <v>140000</v>
      </c>
      <c r="AE410" s="1293">
        <f t="shared" si="412"/>
        <v>0</v>
      </c>
      <c r="AF410" s="1294"/>
      <c r="AG410" s="1294"/>
      <c r="AH410" s="1294">
        <f t="shared" si="414"/>
        <v>140000</v>
      </c>
      <c r="AI410" s="1294">
        <f>'[8]PRIH REBALANS'!$AG$974+'[8]PRIH REBALANS'!$AG$975</f>
        <v>2850000</v>
      </c>
      <c r="AJ410" s="1293">
        <f t="shared" si="419"/>
        <v>0</v>
      </c>
      <c r="AK410" s="1294"/>
      <c r="AL410" s="1294"/>
      <c r="AM410" s="1294"/>
      <c r="AN410" s="1294"/>
      <c r="AO410" s="1294"/>
      <c r="AP410" s="1294"/>
      <c r="AQ410" s="1294"/>
      <c r="AR410" s="1294">
        <f t="shared" si="433"/>
        <v>0</v>
      </c>
      <c r="AS410" s="1136"/>
      <c r="AT410" s="668">
        <f t="shared" si="431"/>
        <v>3075000</v>
      </c>
      <c r="AU410" s="463">
        <f>'Sl. za kom. posl.-Prilog br. 10'!E8+'Sl. za kom. posl.-Prilog br. 10'!E9</f>
        <v>2510000</v>
      </c>
      <c r="AV410" s="468">
        <f t="shared" si="432"/>
        <v>3075000</v>
      </c>
      <c r="AW410" s="468">
        <f t="shared" si="430"/>
        <v>-3075000</v>
      </c>
      <c r="AX410" s="272"/>
      <c r="AY410" s="272"/>
      <c r="AZ410" s="272"/>
      <c r="BA410" s="272"/>
      <c r="BB410" s="272"/>
      <c r="BC410" s="437">
        <f>BC409-W413</f>
        <v>9862381</v>
      </c>
      <c r="BD410" s="437"/>
      <c r="BE410">
        <f t="shared" si="428"/>
        <v>8.5227272727272721E-2</v>
      </c>
      <c r="BF410" s="437">
        <f t="shared" si="429"/>
        <v>8.5227272727272721E-2</v>
      </c>
    </row>
    <row r="411" spans="1:59" ht="39" customHeight="1">
      <c r="A411" s="1572"/>
      <c r="B411" s="1573"/>
      <c r="C411" s="1573"/>
      <c r="D411" s="1604" t="s">
        <v>554</v>
      </c>
      <c r="E411" s="1604" t="s">
        <v>519</v>
      </c>
      <c r="F411" s="1822">
        <v>613324</v>
      </c>
      <c r="G411" s="1870" t="s">
        <v>520</v>
      </c>
      <c r="H411" s="1682">
        <v>2200000</v>
      </c>
      <c r="I411" s="1575"/>
      <c r="J411" s="1575"/>
      <c r="K411" s="1374" t="e">
        <f>H413+H415+H417+#REF!+#REF!</f>
        <v>#REF!</v>
      </c>
      <c r="L411" s="1577">
        <v>1760000</v>
      </c>
      <c r="M411" s="1301"/>
      <c r="N411" s="1302"/>
      <c r="O411" s="1375">
        <f t="shared" ref="O411:O425" si="436">SUM(L411:N411)</f>
        <v>1760000</v>
      </c>
      <c r="P411" s="1577">
        <v>2110000</v>
      </c>
      <c r="Q411" s="1301"/>
      <c r="R411" s="1302"/>
      <c r="S411" s="1375">
        <f t="shared" si="435"/>
        <v>2110000</v>
      </c>
      <c r="T411" s="1577">
        <v>1960000</v>
      </c>
      <c r="U411" s="1301"/>
      <c r="V411" s="1302"/>
      <c r="W411" s="1375">
        <f t="shared" ref="W411:W425" si="437">SUM(T411:V411)</f>
        <v>1960000</v>
      </c>
      <c r="X411" s="1578">
        <f t="shared" si="417"/>
        <v>111.36363636363636</v>
      </c>
      <c r="Y411" s="2457">
        <f>'[1]PRIH REBALANS'!$AG$977+'[1]PRIH REBALANS'!$AG$978+'[1]PRIH REBALANS'!$AG$979+'[1]PRIH REBALANS'!$AG$980</f>
        <v>1960000</v>
      </c>
      <c r="Z411" s="1136"/>
      <c r="AA411" s="1136">
        <f>'[9]PRIH REBALANS'!$AG$977+'[9]PRIH REBALANS'!$AG$978+'[9]PRIH REBALANS'!$AG$979+'[9]PRIH REBALANS'!$AG$980</f>
        <v>1960000</v>
      </c>
      <c r="AB411" s="1293">
        <f t="shared" si="409"/>
        <v>0</v>
      </c>
      <c r="AC411" s="1293">
        <f t="shared" si="413"/>
        <v>0</v>
      </c>
      <c r="AD411" s="1293">
        <f t="shared" si="418"/>
        <v>200000</v>
      </c>
      <c r="AE411" s="1293">
        <f t="shared" si="412"/>
        <v>0</v>
      </c>
      <c r="AF411" s="1294"/>
      <c r="AG411" s="1294"/>
      <c r="AH411" s="1294">
        <f t="shared" si="414"/>
        <v>200000</v>
      </c>
      <c r="AI411" s="1294">
        <f>'[8]PRIH REBALANS'!$AG$976+'[8]PRIH REBALANS'!$AG$977+'[8]PRIH REBALANS'!$AG$978+'[8]PRIH REBALANS'!$AG$979</f>
        <v>2220000</v>
      </c>
      <c r="AJ411" s="1293">
        <f t="shared" si="419"/>
        <v>0</v>
      </c>
      <c r="AK411" s="1293"/>
      <c r="AL411" s="1293"/>
      <c r="AM411" s="1293"/>
      <c r="AN411" s="1293"/>
      <c r="AO411" s="1293"/>
      <c r="AP411" s="1293"/>
      <c r="AQ411" s="1294"/>
      <c r="AR411" s="1294">
        <f t="shared" si="433"/>
        <v>0</v>
      </c>
      <c r="AS411" s="1136"/>
      <c r="AT411" s="668">
        <f t="shared" si="431"/>
        <v>-1500</v>
      </c>
      <c r="AU411" s="463">
        <f>'Sl. za kom. posl.-Prilog br. 10'!E10+'Sl. za kom. posl.-Prilog br. 10'!E11+'Sl. za kom. posl.-Prilog br. 10'!E12</f>
        <v>1760000</v>
      </c>
      <c r="AV411" s="468">
        <f t="shared" si="432"/>
        <v>-1500</v>
      </c>
      <c r="AW411" s="468">
        <f t="shared" si="430"/>
        <v>3000</v>
      </c>
      <c r="AX411" s="272"/>
      <c r="AY411" s="272"/>
      <c r="AZ411" s="272"/>
      <c r="BA411" s="272"/>
      <c r="BB411" s="272"/>
      <c r="BC411" s="437">
        <f>'[2]PRIH REBALANS'!$AG$990+'[2]PRIH REBALANS'!$AG$991+'[2]PRIH REBALANS'!$AG$992</f>
        <v>1760000</v>
      </c>
      <c r="BD411" s="437"/>
      <c r="BE411">
        <f t="shared" si="428"/>
        <v>0</v>
      </c>
      <c r="BF411" s="437">
        <f t="shared" si="429"/>
        <v>0</v>
      </c>
    </row>
    <row r="412" spans="1:59" ht="39" customHeight="1">
      <c r="A412" s="1572"/>
      <c r="B412" s="1573"/>
      <c r="C412" s="1573"/>
      <c r="D412" s="1604" t="s">
        <v>1606</v>
      </c>
      <c r="E412" s="1604" t="s">
        <v>519</v>
      </c>
      <c r="F412" s="1822">
        <v>613329</v>
      </c>
      <c r="G412" s="1870" t="s">
        <v>262</v>
      </c>
      <c r="H412" s="1575">
        <v>320000</v>
      </c>
      <c r="I412" s="1575"/>
      <c r="J412" s="1575"/>
      <c r="K412" s="1374">
        <f>H418+H419+H420+H422+H423+10000+75000</f>
        <v>1318000</v>
      </c>
      <c r="L412" s="1577">
        <v>1940000</v>
      </c>
      <c r="M412" s="1301">
        <v>35000</v>
      </c>
      <c r="N412" s="1302"/>
      <c r="O412" s="1375">
        <f t="shared" si="436"/>
        <v>1975000</v>
      </c>
      <c r="P412" s="1577">
        <v>2360000</v>
      </c>
      <c r="Q412" s="1301"/>
      <c r="R412" s="1302"/>
      <c r="S412" s="1375">
        <f t="shared" si="435"/>
        <v>2360000</v>
      </c>
      <c r="T412" s="1577">
        <v>1410000</v>
      </c>
      <c r="U412" s="1301">
        <v>30000</v>
      </c>
      <c r="V412" s="1302"/>
      <c r="W412" s="1375">
        <f t="shared" si="437"/>
        <v>1440000</v>
      </c>
      <c r="X412" s="1578">
        <f t="shared" si="417"/>
        <v>72.911392405063296</v>
      </c>
      <c r="Y412" s="2457">
        <f>'[1]PRIH REBALANS'!$AG$981+'[1]PRIH REBALANS'!$AG$982+'[1]PRIH REBALANS'!$AG$983+'[1]PRIH REBALANS'!$AG$984+'[1]PRIH REBALANS'!$AG$985++'[1]PRIH REBALANS'!$AG$1004+'[1]PRIH REBALANS'!$AG$1005</f>
        <v>1410000</v>
      </c>
      <c r="Z412" s="1136">
        <f>'[1]PRIH REBALANS'!$AH$1001</f>
        <v>30000</v>
      </c>
      <c r="AA412" s="1136">
        <f>'[1]PRIH REBALANS'!$AG$981+'[1]PRIH REBALANS'!$AG$982+'[1]PRIH REBALANS'!$AG$983+'[1]PRIH REBALANS'!$AG$984+'[1]PRIH REBALANS'!$AG$985+'[1]PRIH REBALANS'!$AG$1004+'[1]PRIH REBALANS'!$AG$1005</f>
        <v>1410000</v>
      </c>
      <c r="AB412" s="1293">
        <f t="shared" si="409"/>
        <v>0</v>
      </c>
      <c r="AC412" s="1293">
        <f t="shared" si="413"/>
        <v>0</v>
      </c>
      <c r="AD412" s="1293">
        <f t="shared" si="418"/>
        <v>-535000</v>
      </c>
      <c r="AE412" s="1293">
        <f t="shared" si="412"/>
        <v>0</v>
      </c>
      <c r="AF412" s="1294"/>
      <c r="AG412" s="1294"/>
      <c r="AH412" s="1294">
        <f t="shared" si="414"/>
        <v>-530000</v>
      </c>
      <c r="AI412" s="1294">
        <f>'[8]PRIH REBALANS'!$AG$980+'[8]PRIH REBALANS'!$AG$981+'[8]PRIH REBALANS'!$AG$982+'[8]PRIH REBALANS'!$AG$983+'[8]PRIH REBALANS'!$AG$1002+'[8]PRIH REBALANS'!$AG$1003</f>
        <v>2280000</v>
      </c>
      <c r="AJ412" s="1293">
        <f t="shared" si="419"/>
        <v>0</v>
      </c>
      <c r="AK412" s="1294"/>
      <c r="AL412" s="1294"/>
      <c r="AM412" s="1294"/>
      <c r="AN412" s="1294"/>
      <c r="AO412" s="1294"/>
      <c r="AP412" s="1294"/>
      <c r="AQ412" s="1294"/>
      <c r="AR412" s="1294">
        <f t="shared" si="433"/>
        <v>0</v>
      </c>
      <c r="AS412" s="1136"/>
      <c r="AT412" s="668">
        <f t="shared" si="431"/>
        <v>1500</v>
      </c>
      <c r="AU412" s="463">
        <f>'Sl. za kom. posl.-Prilog br. 10'!F30</f>
        <v>35000</v>
      </c>
      <c r="AV412" s="468">
        <f t="shared" si="432"/>
        <v>1500</v>
      </c>
      <c r="AW412" s="468">
        <f t="shared" si="430"/>
        <v>-1500</v>
      </c>
      <c r="AX412" s="272"/>
      <c r="AY412" s="272"/>
      <c r="AZ412" s="272"/>
      <c r="BA412" s="272"/>
      <c r="BB412" s="272"/>
      <c r="BC412" s="437">
        <f>'[2]PRIH REBALANS'!$AG$993+'[2]PRIH REBALANS'!$AG$994+'[2]PRIH REBALANS'!$AG$995+'[2]PRIH REBALANS'!$AG$996+'[2]PRIH REBALANS'!$AG$997+'[2]PRIH REBALANS'!$AG$998+'[2]PRIH REBALANS'!$AG$1016</f>
        <v>1940000</v>
      </c>
      <c r="BD412" s="437">
        <f>'[2]PRIH REBALANS'!$AH$1013</f>
        <v>35000</v>
      </c>
      <c r="BE412">
        <f t="shared" si="428"/>
        <v>0.31347962382445138</v>
      </c>
      <c r="BF412" s="437">
        <f t="shared" si="429"/>
        <v>0.31347962382445138</v>
      </c>
    </row>
    <row r="413" spans="1:59" ht="39" customHeight="1">
      <c r="A413" s="1572"/>
      <c r="B413" s="1573"/>
      <c r="C413" s="1573"/>
      <c r="D413" s="1604" t="s">
        <v>1607</v>
      </c>
      <c r="E413" s="1604" t="s">
        <v>524</v>
      </c>
      <c r="F413" s="1822">
        <v>613700</v>
      </c>
      <c r="G413" s="1870" t="s">
        <v>567</v>
      </c>
      <c r="H413" s="1575">
        <v>900000</v>
      </c>
      <c r="I413" s="1575"/>
      <c r="J413" s="1575"/>
      <c r="K413" s="1374" t="e">
        <f>#REF!</f>
        <v>#REF!</v>
      </c>
      <c r="L413" s="1577">
        <v>450000</v>
      </c>
      <c r="M413" s="1301">
        <v>2740000</v>
      </c>
      <c r="N413" s="1302"/>
      <c r="O413" s="1375">
        <f t="shared" si="436"/>
        <v>3190000</v>
      </c>
      <c r="P413" s="1577">
        <v>500000</v>
      </c>
      <c r="Q413" s="1301">
        <v>2690000</v>
      </c>
      <c r="R413" s="1302"/>
      <c r="S413" s="1375">
        <f t="shared" si="435"/>
        <v>3190000</v>
      </c>
      <c r="T413" s="1577">
        <v>450000</v>
      </c>
      <c r="U413" s="1301">
        <v>2625000</v>
      </c>
      <c r="V413" s="1302"/>
      <c r="W413" s="1375">
        <f t="shared" si="437"/>
        <v>3075000</v>
      </c>
      <c r="X413" s="1578">
        <f t="shared" si="417"/>
        <v>96.3949843260188</v>
      </c>
      <c r="Y413" s="2457">
        <f>'[1]PRIH REBALANS'!$AG$987</f>
        <v>450000</v>
      </c>
      <c r="Z413" s="1136">
        <f>'[1]PRIH REBALANS'!$AH$989+'[1]PRIH REBALANS'!$AH$990+'[1]PRIH REBALANS'!$AH$991+'[1]PRIH REBALANS'!$AH$993+'[1]PRIH REBALANS'!$AH$995</f>
        <v>2625000</v>
      </c>
      <c r="AA413" s="1136">
        <f>'[9]PRIH REBALANS'!$AG$987</f>
        <v>450000</v>
      </c>
      <c r="AB413" s="1293">
        <f t="shared" si="409"/>
        <v>0</v>
      </c>
      <c r="AC413" s="1293">
        <f t="shared" si="413"/>
        <v>0</v>
      </c>
      <c r="AD413" s="1293">
        <f t="shared" si="418"/>
        <v>-115000</v>
      </c>
      <c r="AE413" s="1293">
        <f t="shared" si="412"/>
        <v>0</v>
      </c>
      <c r="AF413" s="1294"/>
      <c r="AG413" s="1294"/>
      <c r="AH413" s="1294">
        <f t="shared" si="414"/>
        <v>0</v>
      </c>
      <c r="AI413" s="1294">
        <f>'[8]PRIH REBALANS'!$AG$986</f>
        <v>500000</v>
      </c>
      <c r="AJ413" s="1293">
        <f t="shared" si="419"/>
        <v>0</v>
      </c>
      <c r="AK413" s="1294"/>
      <c r="AL413" s="1294"/>
      <c r="AM413" s="1294"/>
      <c r="AN413" s="1294"/>
      <c r="AO413" s="1294"/>
      <c r="AP413" s="1294"/>
      <c r="AQ413" s="1294">
        <f>'[8]PRIH REBALANS'!$AH$63+'[8]PRIH REBALANS'!$AH$65+'[8]PRIH REBALANS'!$AH$176+'[8]PRIH REBALANS'!$AH$177</f>
        <v>2560000</v>
      </c>
      <c r="AR413" s="1294">
        <f t="shared" si="433"/>
        <v>0</v>
      </c>
      <c r="AS413" s="1136"/>
      <c r="AT413" s="668">
        <f t="shared" si="431"/>
        <v>-10000</v>
      </c>
      <c r="AU413" s="463">
        <f>'Sl. za kom. posl.-Prilog br. 10'!F21+'Sl. za kom. posl.-Prilog br. 10'!F22+'Sl. za kom. posl.-Prilog br. 10'!F25+'Sl. za kom. posl.-Prilog br. 10'!F27</f>
        <v>2740000</v>
      </c>
      <c r="AV413" s="468">
        <f t="shared" si="432"/>
        <v>-10000</v>
      </c>
      <c r="AW413" s="468">
        <f t="shared" si="430"/>
        <v>20000</v>
      </c>
      <c r="AX413" s="272"/>
      <c r="AY413" s="272"/>
      <c r="AZ413" s="272"/>
      <c r="BA413" s="272"/>
      <c r="BB413" s="272"/>
      <c r="BC413" s="437">
        <f>'[2]PRIH REBALANS'!$AH$1000</f>
        <v>2740000</v>
      </c>
      <c r="BD413" s="437"/>
      <c r="BE413">
        <f t="shared" si="428"/>
        <v>0.43616927068532768</v>
      </c>
      <c r="BF413" s="437">
        <f t="shared" si="429"/>
        <v>0.43616927068532768</v>
      </c>
    </row>
    <row r="414" spans="1:59" ht="39" customHeight="1">
      <c r="A414" s="1572"/>
      <c r="B414" s="1573"/>
      <c r="C414" s="1573"/>
      <c r="D414" s="1604" t="s">
        <v>1608</v>
      </c>
      <c r="E414" s="1604" t="s">
        <v>600</v>
      </c>
      <c r="F414" s="1822">
        <v>613700</v>
      </c>
      <c r="G414" s="1870" t="s">
        <v>736</v>
      </c>
      <c r="H414" s="1575"/>
      <c r="I414" s="1575"/>
      <c r="J414" s="1575"/>
      <c r="K414" s="1374"/>
      <c r="L414" s="1577"/>
      <c r="M414" s="1301">
        <v>756587</v>
      </c>
      <c r="N414" s="1302"/>
      <c r="O414" s="1375">
        <f t="shared" si="436"/>
        <v>756587</v>
      </c>
      <c r="P414" s="1577"/>
      <c r="Q414" s="1301"/>
      <c r="R414" s="1302"/>
      <c r="S414" s="1375">
        <f t="shared" si="435"/>
        <v>0</v>
      </c>
      <c r="T414" s="1577"/>
      <c r="U414" s="1301"/>
      <c r="V414" s="1302"/>
      <c r="W414" s="1375">
        <f t="shared" si="437"/>
        <v>0</v>
      </c>
      <c r="X414" s="1578">
        <f t="shared" si="417"/>
        <v>0</v>
      </c>
      <c r="Y414" s="2457"/>
      <c r="Z414" s="1136"/>
      <c r="AA414" s="1136"/>
      <c r="AB414" s="1293">
        <f t="shared" si="409"/>
        <v>0</v>
      </c>
      <c r="AC414" s="1293">
        <f t="shared" si="413"/>
        <v>0</v>
      </c>
      <c r="AD414" s="1293">
        <f t="shared" si="418"/>
        <v>-756587</v>
      </c>
      <c r="AE414" s="1293">
        <f t="shared" si="412"/>
        <v>0</v>
      </c>
      <c r="AF414" s="1294"/>
      <c r="AG414" s="1294"/>
      <c r="AH414" s="1294">
        <f t="shared" si="414"/>
        <v>0</v>
      </c>
      <c r="AI414" s="1294">
        <f>T414+U414+V414-W414</f>
        <v>0</v>
      </c>
      <c r="AJ414" s="1293">
        <f t="shared" si="419"/>
        <v>0</v>
      </c>
      <c r="AK414" s="1294"/>
      <c r="AL414" s="1294"/>
      <c r="AM414" s="1294"/>
      <c r="AN414" s="1294"/>
      <c r="AO414" s="1294"/>
      <c r="AP414" s="1294"/>
      <c r="AQ414" s="1294">
        <f>AQ413+'[8]PRIH REBALANS'!$AH$178</f>
        <v>2625000</v>
      </c>
      <c r="AR414" s="1294">
        <f t="shared" si="433"/>
        <v>0</v>
      </c>
      <c r="AS414" s="1136"/>
      <c r="AT414" s="668">
        <f t="shared" si="431"/>
        <v>6700</v>
      </c>
      <c r="AU414" s="463">
        <f>'Sl. za kom. posl.-Prilog br. 10'!F24</f>
        <v>756587</v>
      </c>
      <c r="AV414" s="468">
        <f t="shared" si="432"/>
        <v>6700</v>
      </c>
      <c r="AW414" s="468">
        <f t="shared" si="430"/>
        <v>-3400</v>
      </c>
      <c r="AX414" s="272"/>
      <c r="AY414" s="272"/>
      <c r="AZ414" s="272"/>
      <c r="BA414" s="272"/>
      <c r="BB414" s="272"/>
      <c r="BC414" s="437">
        <f>'[2]PRIH REBALANS'!$AI$1004</f>
        <v>756587</v>
      </c>
      <c r="BD414" s="437"/>
      <c r="BE414" t="e">
        <f t="shared" si="428"/>
        <v>#DIV/0!</v>
      </c>
      <c r="BF414" s="437" t="e">
        <f t="shared" si="429"/>
        <v>#DIV/0!</v>
      </c>
    </row>
    <row r="415" spans="1:59" ht="39" customHeight="1">
      <c r="A415" s="1572"/>
      <c r="B415" s="1573"/>
      <c r="C415" s="1573"/>
      <c r="D415" s="1604" t="s">
        <v>319</v>
      </c>
      <c r="E415" s="1604" t="s">
        <v>527</v>
      </c>
      <c r="F415" s="1822">
        <v>613990</v>
      </c>
      <c r="G415" s="1870" t="s">
        <v>235</v>
      </c>
      <c r="H415" s="1575">
        <v>10000</v>
      </c>
      <c r="I415" s="1575"/>
      <c r="J415" s="1575"/>
      <c r="K415" s="1374"/>
      <c r="L415" s="1577"/>
      <c r="M415" s="1301"/>
      <c r="N415" s="1302"/>
      <c r="O415" s="1375">
        <f t="shared" si="436"/>
        <v>0</v>
      </c>
      <c r="P415" s="1577">
        <v>1500</v>
      </c>
      <c r="Q415" s="1301"/>
      <c r="R415" s="1302"/>
      <c r="S415" s="1375">
        <f t="shared" si="435"/>
        <v>1500</v>
      </c>
      <c r="T415" s="1577">
        <v>1500</v>
      </c>
      <c r="U415" s="1301"/>
      <c r="V415" s="1302"/>
      <c r="W415" s="1375">
        <f t="shared" si="437"/>
        <v>1500</v>
      </c>
      <c r="X415" s="1578"/>
      <c r="Y415" s="2457">
        <f>'[1]PRIH REBALANS'!$AG$1031</f>
        <v>1500</v>
      </c>
      <c r="Z415" s="1136"/>
      <c r="AA415" s="1136"/>
      <c r="AB415" s="1293">
        <f t="shared" si="409"/>
        <v>0</v>
      </c>
      <c r="AC415" s="1293">
        <f t="shared" si="413"/>
        <v>0</v>
      </c>
      <c r="AD415" s="1293">
        <f t="shared" si="418"/>
        <v>1500</v>
      </c>
      <c r="AE415" s="1293">
        <f t="shared" si="412"/>
        <v>0</v>
      </c>
      <c r="AF415" s="1294"/>
      <c r="AG415" s="1294"/>
      <c r="AH415" s="1294">
        <f t="shared" si="414"/>
        <v>1500</v>
      </c>
      <c r="AI415" s="1294">
        <f>'[8]PRIH REBALANS'!$AG$1029</f>
        <v>1500</v>
      </c>
      <c r="AJ415" s="1293">
        <f t="shared" si="419"/>
        <v>0</v>
      </c>
      <c r="AK415" s="1294"/>
      <c r="AL415" s="1294"/>
      <c r="AM415" s="1294"/>
      <c r="AN415" s="1294"/>
      <c r="AO415" s="1294"/>
      <c r="AP415" s="1294"/>
      <c r="AQ415" s="1294"/>
      <c r="AR415" s="1294">
        <f t="shared" si="433"/>
        <v>0</v>
      </c>
      <c r="AS415" s="1136"/>
      <c r="AT415" s="668">
        <f t="shared" si="431"/>
        <v>3300</v>
      </c>
      <c r="AU415" s="463"/>
      <c r="AV415" s="468">
        <f t="shared" si="432"/>
        <v>3300</v>
      </c>
      <c r="AW415" s="468">
        <f t="shared" si="430"/>
        <v>-3300</v>
      </c>
      <c r="AX415" s="272"/>
      <c r="AY415" s="272"/>
      <c r="AZ415" s="272"/>
      <c r="BA415" s="272"/>
      <c r="BB415" s="272"/>
      <c r="BC415" s="437">
        <f>T418+U418+V418+-W419</f>
        <v>3300</v>
      </c>
      <c r="BD415" s="437"/>
      <c r="BE415">
        <f t="shared" si="428"/>
        <v>3382.377811601556</v>
      </c>
      <c r="BF415" s="437">
        <f t="shared" si="429"/>
        <v>3382.377811601556</v>
      </c>
    </row>
    <row r="416" spans="1:59" s="335" customFormat="1" ht="39" customHeight="1">
      <c r="A416" s="1572"/>
      <c r="B416" s="1573"/>
      <c r="C416" s="1573"/>
      <c r="D416" s="1604" t="s">
        <v>554</v>
      </c>
      <c r="E416" s="1604" t="s">
        <v>527</v>
      </c>
      <c r="F416" s="1822">
        <v>614112</v>
      </c>
      <c r="G416" s="1870" t="s">
        <v>1290</v>
      </c>
      <c r="H416" s="1575"/>
      <c r="I416" s="1575"/>
      <c r="J416" s="1575"/>
      <c r="K416" s="1374"/>
      <c r="L416" s="1577">
        <v>29565</v>
      </c>
      <c r="M416" s="1301"/>
      <c r="N416" s="1302"/>
      <c r="O416" s="1375">
        <f t="shared" si="436"/>
        <v>29565</v>
      </c>
      <c r="P416" s="1577">
        <v>10000</v>
      </c>
      <c r="Q416" s="1301"/>
      <c r="R416" s="1302"/>
      <c r="S416" s="1375">
        <f t="shared" si="435"/>
        <v>10000</v>
      </c>
      <c r="T416" s="1577"/>
      <c r="U416" s="1301"/>
      <c r="V416" s="1302"/>
      <c r="W416" s="1375">
        <f t="shared" si="437"/>
        <v>0</v>
      </c>
      <c r="X416" s="1578">
        <f t="shared" si="417"/>
        <v>0</v>
      </c>
      <c r="Y416" s="2457"/>
      <c r="Z416" s="1136"/>
      <c r="AA416" s="1136"/>
      <c r="AB416" s="1293">
        <f t="shared" si="409"/>
        <v>0</v>
      </c>
      <c r="AC416" s="1293">
        <f t="shared" si="413"/>
        <v>0</v>
      </c>
      <c r="AD416" s="1293">
        <f t="shared" si="418"/>
        <v>-29565</v>
      </c>
      <c r="AE416" s="1293">
        <f t="shared" si="412"/>
        <v>0</v>
      </c>
      <c r="AF416" s="1294"/>
      <c r="AG416" s="1294"/>
      <c r="AH416" s="1294">
        <f t="shared" si="414"/>
        <v>-29565</v>
      </c>
      <c r="AI416" s="1294">
        <f>T416+U416+V416-W416</f>
        <v>0</v>
      </c>
      <c r="AJ416" s="1293">
        <f t="shared" si="419"/>
        <v>0</v>
      </c>
      <c r="AK416" s="1294"/>
      <c r="AL416" s="1294"/>
      <c r="AM416" s="1294"/>
      <c r="AN416" s="1294"/>
      <c r="AO416" s="1294"/>
      <c r="AP416" s="1294"/>
      <c r="AQ416" s="1294"/>
      <c r="AR416" s="1294">
        <f t="shared" si="433"/>
        <v>0</v>
      </c>
      <c r="AS416" s="1136"/>
      <c r="AT416" s="668">
        <f t="shared" si="431"/>
        <v>-1000000</v>
      </c>
      <c r="AU416" s="463"/>
      <c r="AV416" s="468">
        <f t="shared" si="432"/>
        <v>-1000000</v>
      </c>
      <c r="AW416" s="468">
        <f t="shared" si="430"/>
        <v>2000000</v>
      </c>
      <c r="AX416" s="272"/>
      <c r="AY416" s="272"/>
      <c r="AZ416" s="272"/>
      <c r="BA416" s="272"/>
      <c r="BB416" s="272"/>
      <c r="BC416" s="437">
        <f>T419+U419+V419+-W420</f>
        <v>-1000000</v>
      </c>
      <c r="BD416" s="437"/>
      <c r="BE416" t="e">
        <f t="shared" si="428"/>
        <v>#DIV/0!</v>
      </c>
      <c r="BF416" s="437" t="e">
        <f t="shared" si="429"/>
        <v>#DIV/0!</v>
      </c>
    </row>
    <row r="417" spans="1:59" ht="39" customHeight="1">
      <c r="A417" s="1572"/>
      <c r="B417" s="1573"/>
      <c r="C417" s="1573"/>
      <c r="D417" s="1604" t="s">
        <v>1563</v>
      </c>
      <c r="E417" s="1604" t="s">
        <v>527</v>
      </c>
      <c r="F417" s="1822">
        <v>614125</v>
      </c>
      <c r="G417" s="1870" t="s">
        <v>601</v>
      </c>
      <c r="H417" s="1575">
        <v>850000</v>
      </c>
      <c r="I417" s="1575"/>
      <c r="J417" s="1575"/>
      <c r="K417" s="1374"/>
      <c r="L417" s="1577"/>
      <c r="M417" s="1301"/>
      <c r="N417" s="1302"/>
      <c r="O417" s="1375">
        <f t="shared" si="436"/>
        <v>0</v>
      </c>
      <c r="P417" s="1577">
        <v>3300</v>
      </c>
      <c r="Q417" s="1301"/>
      <c r="R417" s="1302"/>
      <c r="S417" s="1375">
        <f t="shared" si="435"/>
        <v>3300</v>
      </c>
      <c r="T417" s="1577">
        <v>10000</v>
      </c>
      <c r="U417" s="1301"/>
      <c r="V417" s="1302"/>
      <c r="W417" s="1375">
        <f t="shared" si="437"/>
        <v>10000</v>
      </c>
      <c r="X417" s="1578"/>
      <c r="Y417" s="2457">
        <f>'[1]PRIH REBALANS'!$AG$1033</f>
        <v>10000</v>
      </c>
      <c r="Z417" s="1136"/>
      <c r="AA417" s="1136"/>
      <c r="AB417" s="1293">
        <f t="shared" si="409"/>
        <v>0</v>
      </c>
      <c r="AC417" s="1293">
        <f t="shared" si="413"/>
        <v>0</v>
      </c>
      <c r="AD417" s="1293">
        <f t="shared" si="418"/>
        <v>10000</v>
      </c>
      <c r="AE417" s="1293">
        <f t="shared" si="412"/>
        <v>0</v>
      </c>
      <c r="AF417" s="1294"/>
      <c r="AG417" s="1294"/>
      <c r="AH417" s="1294">
        <f t="shared" si="414"/>
        <v>10000</v>
      </c>
      <c r="AI417" s="1294">
        <f>'[8]PRIH REBALANS'!$AG$1031</f>
        <v>10000</v>
      </c>
      <c r="AJ417" s="1293">
        <f t="shared" si="419"/>
        <v>0</v>
      </c>
      <c r="AK417" s="1294"/>
      <c r="AL417" s="1294"/>
      <c r="AM417" s="1294"/>
      <c r="AN417" s="1294"/>
      <c r="AO417" s="1294"/>
      <c r="AP417" s="1294"/>
      <c r="AQ417" s="1294"/>
      <c r="AR417" s="1294">
        <f t="shared" si="433"/>
        <v>0</v>
      </c>
      <c r="AS417" s="1136"/>
      <c r="AT417" s="668">
        <f t="shared" si="431"/>
        <v>1000000</v>
      </c>
      <c r="AU417" s="463"/>
      <c r="AV417" s="468">
        <f t="shared" si="432"/>
        <v>1000000</v>
      </c>
      <c r="AW417" s="468">
        <f t="shared" si="430"/>
        <v>-1000000</v>
      </c>
      <c r="AX417" s="272"/>
      <c r="AY417" s="272"/>
      <c r="AZ417" s="272"/>
      <c r="BA417" s="272"/>
      <c r="BB417" s="272"/>
      <c r="BC417" s="437">
        <f>T420+U420+V420+-W421</f>
        <v>1000000</v>
      </c>
      <c r="BD417" s="437"/>
      <c r="BE417" t="e">
        <f t="shared" si="428"/>
        <v>#DIV/0!</v>
      </c>
      <c r="BF417" s="437" t="e">
        <f t="shared" si="429"/>
        <v>#DIV/0!</v>
      </c>
    </row>
    <row r="418" spans="1:59" ht="39" customHeight="1">
      <c r="A418" s="1572"/>
      <c r="B418" s="1573"/>
      <c r="C418" s="1573"/>
      <c r="D418" s="1604" t="s">
        <v>1564</v>
      </c>
      <c r="E418" s="1604" t="s">
        <v>519</v>
      </c>
      <c r="F418" s="1822">
        <v>614200</v>
      </c>
      <c r="G418" s="1871" t="s">
        <v>183</v>
      </c>
      <c r="H418" s="1680">
        <v>58000</v>
      </c>
      <c r="I418" s="1575"/>
      <c r="J418" s="1575"/>
      <c r="K418" s="1374"/>
      <c r="L418" s="1577"/>
      <c r="M418" s="1301"/>
      <c r="N418" s="1302"/>
      <c r="O418" s="1375">
        <f t="shared" si="436"/>
        <v>0</v>
      </c>
      <c r="P418" s="1577">
        <v>30200</v>
      </c>
      <c r="Q418" s="1301"/>
      <c r="R418" s="1302"/>
      <c r="S418" s="1375">
        <f t="shared" si="435"/>
        <v>30200</v>
      </c>
      <c r="T418" s="1577">
        <v>3300</v>
      </c>
      <c r="U418" s="1301"/>
      <c r="V418" s="1302"/>
      <c r="W418" s="1375">
        <f t="shared" si="437"/>
        <v>3300</v>
      </c>
      <c r="X418" s="1578"/>
      <c r="Y418" s="2457">
        <f>'[1]PRIH REBALANS'!$AG$1032</f>
        <v>3300</v>
      </c>
      <c r="Z418" s="1136"/>
      <c r="AA418" s="1136"/>
      <c r="AB418" s="1293">
        <f t="shared" si="409"/>
        <v>0</v>
      </c>
      <c r="AC418" s="1293">
        <f t="shared" si="413"/>
        <v>0</v>
      </c>
      <c r="AD418" s="1293">
        <f t="shared" si="418"/>
        <v>3300</v>
      </c>
      <c r="AE418" s="1293">
        <f t="shared" si="412"/>
        <v>0</v>
      </c>
      <c r="AF418" s="1294"/>
      <c r="AG418" s="1294"/>
      <c r="AH418" s="1294">
        <f t="shared" si="414"/>
        <v>3300</v>
      </c>
      <c r="AI418" s="1294">
        <f>'[8]PRIH REBALANS'!$AG$1030</f>
        <v>3300</v>
      </c>
      <c r="AJ418" s="1293">
        <f t="shared" si="419"/>
        <v>0</v>
      </c>
      <c r="AK418" s="1294"/>
      <c r="AL418" s="1294"/>
      <c r="AM418" s="1294"/>
      <c r="AN418" s="1294"/>
      <c r="AO418" s="1294"/>
      <c r="AP418" s="1294"/>
      <c r="AQ418" s="1294"/>
      <c r="AR418" s="1294">
        <f t="shared" si="433"/>
        <v>0</v>
      </c>
      <c r="AS418" s="1136"/>
      <c r="AT418" s="668">
        <f t="shared" si="431"/>
        <v>-70000</v>
      </c>
      <c r="AU418" s="463"/>
      <c r="AV418" s="468">
        <f t="shared" si="432"/>
        <v>-70000</v>
      </c>
      <c r="AW418" s="468">
        <f t="shared" si="430"/>
        <v>140000</v>
      </c>
      <c r="AX418" s="272"/>
      <c r="AY418" s="272"/>
      <c r="AZ418" s="272"/>
      <c r="BA418" s="272"/>
      <c r="BB418" s="272"/>
      <c r="BC418" s="437">
        <f>T421+U421+V421+-W422</f>
        <v>-70000</v>
      </c>
      <c r="BD418" s="437"/>
      <c r="BE418">
        <f t="shared" si="428"/>
        <v>916.66666666666663</v>
      </c>
      <c r="BF418" s="437">
        <f t="shared" si="429"/>
        <v>916.66666666666663</v>
      </c>
    </row>
    <row r="419" spans="1:59" ht="39" customHeight="1">
      <c r="A419" s="1572"/>
      <c r="B419" s="1573"/>
      <c r="C419" s="1573"/>
      <c r="D419" s="1604" t="s">
        <v>1565</v>
      </c>
      <c r="E419" s="1604" t="s">
        <v>519</v>
      </c>
      <c r="F419" s="1822">
        <v>614300</v>
      </c>
      <c r="G419" s="1871" t="s">
        <v>184</v>
      </c>
      <c r="H419" s="1575">
        <v>900000</v>
      </c>
      <c r="I419" s="1575"/>
      <c r="J419" s="1575"/>
      <c r="K419" s="1374" t="e">
        <f>#REF!</f>
        <v>#REF!</v>
      </c>
      <c r="L419" s="1577">
        <v>30000</v>
      </c>
      <c r="M419" s="1301"/>
      <c r="N419" s="1302"/>
      <c r="O419" s="1375">
        <f t="shared" si="436"/>
        <v>30000</v>
      </c>
      <c r="P419" s="1577">
        <v>1000000</v>
      </c>
      <c r="Q419" s="1301"/>
      <c r="R419" s="1302"/>
      <c r="S419" s="1375">
        <f t="shared" si="435"/>
        <v>1000000</v>
      </c>
      <c r="T419" s="1577"/>
      <c r="U419" s="1301"/>
      <c r="V419" s="1302"/>
      <c r="W419" s="1375">
        <f t="shared" si="437"/>
        <v>0</v>
      </c>
      <c r="X419" s="1578">
        <f t="shared" si="417"/>
        <v>0</v>
      </c>
      <c r="Y419" s="2457"/>
      <c r="Z419" s="1136"/>
      <c r="AA419" s="1136"/>
      <c r="AB419" s="1293">
        <f t="shared" si="409"/>
        <v>0</v>
      </c>
      <c r="AC419" s="1293">
        <f t="shared" si="413"/>
        <v>0</v>
      </c>
      <c r="AD419" s="1293">
        <f t="shared" si="418"/>
        <v>-30000</v>
      </c>
      <c r="AE419" s="1293">
        <f t="shared" si="412"/>
        <v>0</v>
      </c>
      <c r="AF419" s="1294"/>
      <c r="AG419" s="1294"/>
      <c r="AH419" s="1294">
        <f t="shared" si="414"/>
        <v>-30000</v>
      </c>
      <c r="AI419" s="1294" t="s">
        <v>1518</v>
      </c>
      <c r="AJ419" s="1293">
        <f t="shared" si="419"/>
        <v>0</v>
      </c>
      <c r="AK419" s="1294"/>
      <c r="AL419" s="1294"/>
      <c r="AM419" s="1294"/>
      <c r="AN419" s="1294"/>
      <c r="AO419" s="1294"/>
      <c r="AP419" s="1294"/>
      <c r="AQ419" s="1294"/>
      <c r="AR419" s="1294">
        <f t="shared" si="433"/>
        <v>0</v>
      </c>
      <c r="AS419" s="1136"/>
      <c r="AT419" s="668">
        <f t="shared" si="431"/>
        <v>-205000</v>
      </c>
      <c r="AU419" s="463">
        <f>'Sl. za kom. posl.-Prilog br. 10'!E33</f>
        <v>30000</v>
      </c>
      <c r="AV419" s="468">
        <f t="shared" si="432"/>
        <v>-205000</v>
      </c>
      <c r="AW419" s="468">
        <f t="shared" si="430"/>
        <v>480000</v>
      </c>
      <c r="AX419" s="272"/>
      <c r="AY419" s="272"/>
      <c r="AZ419" s="272"/>
      <c r="BA419" s="272"/>
      <c r="BB419" s="272"/>
      <c r="BC419" s="437">
        <f>'[2]PRIH REBALANS'!$AG$1017</f>
        <v>30000</v>
      </c>
      <c r="BD419" s="437"/>
      <c r="BE419">
        <f t="shared" si="428"/>
        <v>0</v>
      </c>
      <c r="BF419" s="437">
        <f t="shared" si="429"/>
        <v>0</v>
      </c>
    </row>
    <row r="420" spans="1:59" ht="39" customHeight="1">
      <c r="A420" s="1572"/>
      <c r="B420" s="1573"/>
      <c r="C420" s="1573"/>
      <c r="D420" s="1604" t="s">
        <v>1605</v>
      </c>
      <c r="E420" s="1604"/>
      <c r="F420" s="1822">
        <v>614400</v>
      </c>
      <c r="G420" s="1871" t="s">
        <v>537</v>
      </c>
      <c r="H420" s="1575">
        <v>10000</v>
      </c>
      <c r="I420" s="1575"/>
      <c r="J420" s="1575"/>
      <c r="K420" s="1374" t="e">
        <f>#REF!+#REF!+#REF!+#REF!</f>
        <v>#REF!</v>
      </c>
      <c r="L420" s="1577">
        <v>758000</v>
      </c>
      <c r="M420" s="1301"/>
      <c r="N420" s="1302">
        <v>730020</v>
      </c>
      <c r="O420" s="1375">
        <f t="shared" si="436"/>
        <v>1488020</v>
      </c>
      <c r="P420" s="1577">
        <v>90000</v>
      </c>
      <c r="Q420" s="1301"/>
      <c r="R420" s="1302"/>
      <c r="S420" s="1375">
        <f t="shared" si="435"/>
        <v>90000</v>
      </c>
      <c r="T420" s="1577">
        <v>1000000</v>
      </c>
      <c r="U420" s="1301"/>
      <c r="V420" s="1302"/>
      <c r="W420" s="1375">
        <f t="shared" si="437"/>
        <v>1000000</v>
      </c>
      <c r="X420" s="1578">
        <f t="shared" si="417"/>
        <v>67.203397803792967</v>
      </c>
      <c r="Y420" s="2457">
        <f>'[1]PRIH REBALANS'!$AG$1009</f>
        <v>1000000</v>
      </c>
      <c r="Z420" s="1136"/>
      <c r="AA420" s="1136">
        <f>'[1]PRIH REBALANS'!$AG$1009</f>
        <v>1000000</v>
      </c>
      <c r="AB420" s="1293">
        <f t="shared" si="409"/>
        <v>0</v>
      </c>
      <c r="AC420" s="1293">
        <f t="shared" si="413"/>
        <v>0</v>
      </c>
      <c r="AD420" s="1293">
        <f t="shared" si="418"/>
        <v>-488020</v>
      </c>
      <c r="AE420" s="1293">
        <f t="shared" si="412"/>
        <v>0</v>
      </c>
      <c r="AF420" s="1294"/>
      <c r="AG420" s="1294"/>
      <c r="AH420" s="1294">
        <f t="shared" si="414"/>
        <v>242000</v>
      </c>
      <c r="AI420" s="1294" t="e">
        <f>'[8]PRIH REBALANS'!$AG$1006</f>
        <v>#REF!</v>
      </c>
      <c r="AJ420" s="1293">
        <f t="shared" si="419"/>
        <v>0</v>
      </c>
      <c r="AK420" s="1294"/>
      <c r="AL420" s="1294"/>
      <c r="AM420" s="1294"/>
      <c r="AN420" s="1294"/>
      <c r="AO420" s="1294"/>
      <c r="AP420" s="1294"/>
      <c r="AQ420" s="1294"/>
      <c r="AR420" s="1294">
        <f t="shared" si="433"/>
        <v>0</v>
      </c>
      <c r="AS420" s="1136"/>
      <c r="AT420" s="668">
        <f t="shared" si="431"/>
        <v>275000</v>
      </c>
      <c r="AU420" s="463">
        <f>'Sl. za kom. posl.-Prilog br. 10'!G34</f>
        <v>730020</v>
      </c>
      <c r="AV420" s="468">
        <f t="shared" si="432"/>
        <v>275000</v>
      </c>
      <c r="AW420" s="468">
        <f t="shared" si="430"/>
        <v>-275000</v>
      </c>
      <c r="AX420" s="272"/>
      <c r="AY420" s="272"/>
      <c r="AZ420" s="272"/>
      <c r="BA420" s="272"/>
      <c r="BB420" s="272"/>
      <c r="BC420" s="437">
        <f>'[2]PRIH REBALANS'!$AG$1020</f>
        <v>758000</v>
      </c>
      <c r="BD420" s="437">
        <f>'[2]PRIH REBALANS'!$AJ$1020</f>
        <v>730020</v>
      </c>
      <c r="BF420" s="437"/>
    </row>
    <row r="421" spans="1:59" ht="39" customHeight="1">
      <c r="A421" s="1572"/>
      <c r="B421" s="1573"/>
      <c r="C421" s="1573"/>
      <c r="D421" s="1604" t="s">
        <v>337</v>
      </c>
      <c r="E421" s="1604"/>
      <c r="F421" s="1822">
        <v>614400</v>
      </c>
      <c r="G421" s="1871" t="s">
        <v>1465</v>
      </c>
      <c r="H421" s="1575"/>
      <c r="I421" s="1575"/>
      <c r="J421" s="1575"/>
      <c r="K421" s="1374"/>
      <c r="L421" s="1577"/>
      <c r="M421" s="1301"/>
      <c r="N421" s="1302">
        <v>31756</v>
      </c>
      <c r="O421" s="1375">
        <f t="shared" si="436"/>
        <v>31756</v>
      </c>
      <c r="P421" s="1577">
        <v>240000</v>
      </c>
      <c r="Q421" s="1301">
        <v>110000</v>
      </c>
      <c r="R421" s="1302"/>
      <c r="S421" s="1375">
        <f t="shared" si="435"/>
        <v>350000</v>
      </c>
      <c r="T421" s="1577"/>
      <c r="U421" s="1301"/>
      <c r="V421" s="1302"/>
      <c r="W421" s="1375">
        <f t="shared" si="437"/>
        <v>0</v>
      </c>
      <c r="X421" s="1578">
        <f t="shared" si="417"/>
        <v>0</v>
      </c>
      <c r="Y421" s="2457"/>
      <c r="Z421" s="1136"/>
      <c r="AA421" s="1136"/>
      <c r="AB421" s="1293">
        <f t="shared" si="409"/>
        <v>0</v>
      </c>
      <c r="AC421" s="1293">
        <f t="shared" si="413"/>
        <v>0</v>
      </c>
      <c r="AD421" s="1293">
        <f t="shared" si="418"/>
        <v>-31756</v>
      </c>
      <c r="AE421" s="1293">
        <f t="shared" si="412"/>
        <v>0</v>
      </c>
      <c r="AF421" s="1294"/>
      <c r="AG421" s="1294"/>
      <c r="AH421" s="1294">
        <f t="shared" si="414"/>
        <v>0</v>
      </c>
      <c r="AI421" s="1294">
        <f>T421+U421+V421-W421</f>
        <v>0</v>
      </c>
      <c r="AJ421" s="1293">
        <f t="shared" si="419"/>
        <v>0</v>
      </c>
      <c r="AK421" s="1294"/>
      <c r="AL421" s="1294"/>
      <c r="AM421" s="1294"/>
      <c r="AN421" s="1294"/>
      <c r="AO421" s="1294"/>
      <c r="AP421" s="1294"/>
      <c r="AQ421" s="1294"/>
      <c r="AR421" s="1294">
        <f t="shared" si="433"/>
        <v>0</v>
      </c>
      <c r="AS421" s="1136"/>
      <c r="AT421" s="668">
        <f t="shared" si="431"/>
        <v>0</v>
      </c>
      <c r="AU421" s="463">
        <f>'Sl. za kom. posl.-Prilog br. 10'!G35</f>
        <v>31756</v>
      </c>
      <c r="AV421" s="468">
        <f t="shared" si="432"/>
        <v>0</v>
      </c>
      <c r="AW421" s="468">
        <f t="shared" si="430"/>
        <v>0</v>
      </c>
      <c r="AX421" s="272"/>
      <c r="AY421" s="272"/>
      <c r="AZ421" s="272"/>
      <c r="BA421" s="272"/>
      <c r="BB421" s="272"/>
      <c r="BC421" s="437">
        <f>'[2]PRIH REBALANS'!$AI$1020</f>
        <v>31756</v>
      </c>
      <c r="BD421" s="437"/>
      <c r="BE421">
        <f>W426/O422*100</f>
        <v>341.1764705882353</v>
      </c>
      <c r="BF421" s="437">
        <f>BE421-X427</f>
        <v>241.1764705882353</v>
      </c>
    </row>
    <row r="422" spans="1:59" ht="39" customHeight="1">
      <c r="A422" s="1572"/>
      <c r="B422" s="1573"/>
      <c r="C422" s="1573"/>
      <c r="D422" s="1604" t="s">
        <v>319</v>
      </c>
      <c r="E422" s="1604"/>
      <c r="F422" s="1797" t="s">
        <v>188</v>
      </c>
      <c r="G422" s="1871" t="s">
        <v>706</v>
      </c>
      <c r="H422" s="1575">
        <v>260000</v>
      </c>
      <c r="I422" s="1575"/>
      <c r="J422" s="1575"/>
      <c r="K422" s="1374" t="e">
        <f>#REF!+#REF!+#REF!+#REF!</f>
        <v>#REF!</v>
      </c>
      <c r="L422" s="1577">
        <v>85000</v>
      </c>
      <c r="M422" s="1301"/>
      <c r="N422" s="1302"/>
      <c r="O422" s="1375">
        <f t="shared" si="436"/>
        <v>85000</v>
      </c>
      <c r="P422" s="1577"/>
      <c r="Q422" s="1301"/>
      <c r="R422" s="1302"/>
      <c r="S422" s="1375">
        <f t="shared" si="435"/>
        <v>0</v>
      </c>
      <c r="T422" s="1577">
        <v>70000</v>
      </c>
      <c r="U422" s="1301"/>
      <c r="V422" s="1302"/>
      <c r="W422" s="1375">
        <f t="shared" si="437"/>
        <v>70000</v>
      </c>
      <c r="X422" s="1578">
        <f t="shared" si="417"/>
        <v>82.35294117647058</v>
      </c>
      <c r="Y422" s="2457">
        <f>'[1]PRIH REBALANS'!$AG$1012+'[1]PRIH REBALANS'!$AG$1013</f>
        <v>70000</v>
      </c>
      <c r="Z422" s="1136"/>
      <c r="AA422" s="1136">
        <f>'[9]PRIH REBALANS'!$AG$1012+'[9]PRIH REBALANS'!$AG$1013</f>
        <v>70000</v>
      </c>
      <c r="AB422" s="1293">
        <f t="shared" si="409"/>
        <v>0</v>
      </c>
      <c r="AC422" s="1293">
        <f t="shared" si="413"/>
        <v>0</v>
      </c>
      <c r="AD422" s="1293">
        <f t="shared" si="418"/>
        <v>-15000</v>
      </c>
      <c r="AE422" s="1293">
        <f t="shared" si="412"/>
        <v>0</v>
      </c>
      <c r="AF422" s="1294"/>
      <c r="AG422" s="1294"/>
      <c r="AH422" s="1294">
        <f t="shared" si="414"/>
        <v>-15000</v>
      </c>
      <c r="AI422" s="1294">
        <f>'[8]PRIH REBALANS'!$AG$1011</f>
        <v>50000</v>
      </c>
      <c r="AJ422" s="1293">
        <f t="shared" si="419"/>
        <v>0</v>
      </c>
      <c r="AK422" s="1294"/>
      <c r="AL422" s="1294"/>
      <c r="AM422" s="1294"/>
      <c r="AN422" s="1294"/>
      <c r="AO422" s="1294"/>
      <c r="AP422" s="1294"/>
      <c r="AQ422" s="1294"/>
      <c r="AR422" s="1294">
        <f t="shared" si="433"/>
        <v>0</v>
      </c>
      <c r="AS422" s="1136"/>
      <c r="AT422" s="668">
        <f t="shared" si="431"/>
        <v>-290000</v>
      </c>
      <c r="AU422" s="463">
        <f>'Sl. za kom. posl.-Prilog br. 10'!E37+'Sl. za kom. posl.-Prilog br. 10'!E38</f>
        <v>85000</v>
      </c>
      <c r="AV422" s="468">
        <f t="shared" si="432"/>
        <v>-290000</v>
      </c>
      <c r="AW422" s="468">
        <f t="shared" si="430"/>
        <v>580000</v>
      </c>
      <c r="AX422" s="272"/>
      <c r="AY422" s="272"/>
      <c r="AZ422" s="272"/>
      <c r="BA422" s="272"/>
      <c r="BB422" s="272"/>
      <c r="BC422" s="437">
        <f>'[2]PRIH REBALANS'!$AG$1024+'[2]PRIH REBALANS'!$AG$1025</f>
        <v>85000</v>
      </c>
      <c r="BD422" s="437"/>
      <c r="BE422">
        <f>W427/O423*100</f>
        <v>42.662116040955631</v>
      </c>
      <c r="BF422" s="437">
        <f>BE422-X428</f>
        <v>-57.337883959044369</v>
      </c>
    </row>
    <row r="423" spans="1:59" ht="39" customHeight="1">
      <c r="A423" s="1572"/>
      <c r="B423" s="1573"/>
      <c r="C423" s="1573"/>
      <c r="D423" s="1604" t="s">
        <v>491</v>
      </c>
      <c r="E423" s="1604"/>
      <c r="F423" s="1797" t="s">
        <v>195</v>
      </c>
      <c r="G423" s="1871" t="s">
        <v>265</v>
      </c>
      <c r="H423" s="1575">
        <v>5000</v>
      </c>
      <c r="I423" s="1575"/>
      <c r="J423" s="1575"/>
      <c r="K423" s="1374" t="e">
        <f>SUM(#REF!,#REF!,#REF!,#REF!,#REF!,#REF!)</f>
        <v>#REF!</v>
      </c>
      <c r="L423" s="1577">
        <v>506000</v>
      </c>
      <c r="M423" s="1301">
        <v>80000</v>
      </c>
      <c r="N423" s="1302"/>
      <c r="O423" s="1375">
        <f t="shared" si="436"/>
        <v>586000</v>
      </c>
      <c r="P423" s="1577"/>
      <c r="Q423" s="1301"/>
      <c r="R423" s="1302"/>
      <c r="S423" s="1375">
        <f t="shared" si="435"/>
        <v>0</v>
      </c>
      <c r="T423" s="1577">
        <v>205000</v>
      </c>
      <c r="U423" s="1301">
        <v>70000</v>
      </c>
      <c r="V423" s="1302"/>
      <c r="W423" s="1375">
        <f t="shared" si="437"/>
        <v>275000</v>
      </c>
      <c r="X423" s="1578">
        <f t="shared" si="417"/>
        <v>46.928327645051191</v>
      </c>
      <c r="Y423" s="2457">
        <f>'[1]PRIH REBALANS'!$AG$1016+'[1]PRIH REBALANS'!$AG$1018+'[1]PRIH REBALANS'!$AG$1019+'[1]PRIH REBALANS'!$AG$1020+'[1]PRIH REBALANS'!$AG$1023+'[1]PRIH REBALANS'!$AG$1028</f>
        <v>205000</v>
      </c>
      <c r="Z423" s="1136">
        <f>'[1]PRIH REBALANS'!$AH$1025</f>
        <v>70000</v>
      </c>
      <c r="AA423" s="1136">
        <f>'[9]PRIH REBALANS'!$AG$1016+'[9]PRIH REBALANS'!$AG$1018+'[9]PRIH REBALANS'!$AG$1019+'[9]PRIH REBALANS'!$AG$1020+'[9]PRIH REBALANS'!$AG$1023+'[9]PRIH REBALANS'!$AG$1028</f>
        <v>205000</v>
      </c>
      <c r="AB423" s="1293">
        <f t="shared" si="409"/>
        <v>0</v>
      </c>
      <c r="AC423" s="1293">
        <f t="shared" si="413"/>
        <v>0</v>
      </c>
      <c r="AD423" s="1293">
        <f t="shared" si="418"/>
        <v>-311000</v>
      </c>
      <c r="AE423" s="1293">
        <f t="shared" si="412"/>
        <v>0</v>
      </c>
      <c r="AF423" s="1294"/>
      <c r="AG423" s="1294"/>
      <c r="AH423" s="1294">
        <f t="shared" si="414"/>
        <v>-301000</v>
      </c>
      <c r="AI423" s="1294">
        <f>'[8]PRIH REBALANS'!$AG$1014+'[8]PRIH REBALANS'!$AG$1016+'[8]PRIH REBALANS'!$AG$1017+'[8]PRIH REBALANS'!$AG$1021+'[8]PRIH REBALANS'!$AG$1026</f>
        <v>230000</v>
      </c>
      <c r="AJ423" s="1293">
        <f t="shared" si="419"/>
        <v>0</v>
      </c>
      <c r="AK423" s="1294"/>
      <c r="AL423" s="1294"/>
      <c r="AM423" s="1294"/>
      <c r="AN423" s="1294"/>
      <c r="AO423" s="1294"/>
      <c r="AP423" s="1294"/>
      <c r="AQ423" s="1294"/>
      <c r="AR423" s="1294">
        <f t="shared" si="433"/>
        <v>0</v>
      </c>
      <c r="AS423" s="1136"/>
      <c r="AT423" s="668">
        <f t="shared" si="431"/>
        <v>40000</v>
      </c>
      <c r="AU423" s="463">
        <f>'Sl. za kom. posl.-Prilog br. 10'!F45</f>
        <v>80000</v>
      </c>
      <c r="AV423" s="468">
        <f t="shared" si="432"/>
        <v>40000</v>
      </c>
      <c r="AW423" s="468">
        <f t="shared" si="430"/>
        <v>210000</v>
      </c>
      <c r="AX423" s="272"/>
      <c r="AY423" s="272"/>
      <c r="AZ423" s="272"/>
      <c r="BA423" s="272"/>
      <c r="BB423" s="272"/>
      <c r="BC423" s="455">
        <f>'[2]PRIH REBALANS'!$AG$1028+'[2]PRIH REBALANS'!$AG$1030+'[2]PRIH REBALANS'!$AG$1031+'[2]PRIH REBALANS'!$AG$1032+'[2]PRIH REBALANS'!$AG$1035+'[2]PRIH REBALANS'!$AG$1036+'[2]PRIH REBALANS'!$AG$1039+'[2]PRIH REBALANS'!$AG$1040</f>
        <v>506000</v>
      </c>
      <c r="BD423" s="455">
        <f>'[2]PRIH REBALANS'!$AH$1037</f>
        <v>80000</v>
      </c>
      <c r="BE423">
        <f>W429/O425*100</f>
        <v>213.00563236047108</v>
      </c>
      <c r="BF423" s="437">
        <f>BE423-X430</f>
        <v>-189.09447907870262</v>
      </c>
    </row>
    <row r="424" spans="1:59" ht="39" customHeight="1">
      <c r="A424" s="1572"/>
      <c r="B424" s="1573"/>
      <c r="C424" s="1573"/>
      <c r="D424" s="1604"/>
      <c r="E424" s="1604"/>
      <c r="F424" s="1797" t="s">
        <v>510</v>
      </c>
      <c r="G424" s="1871" t="s">
        <v>1484</v>
      </c>
      <c r="H424" s="1575"/>
      <c r="I424" s="1575"/>
      <c r="J424" s="1575"/>
      <c r="K424" s="1374"/>
      <c r="L424" s="1577"/>
      <c r="M424" s="1301"/>
      <c r="N424" s="1302">
        <v>7203</v>
      </c>
      <c r="O424" s="1375">
        <f t="shared" si="436"/>
        <v>7203</v>
      </c>
      <c r="P424" s="1577"/>
      <c r="Q424" s="1301"/>
      <c r="R424" s="1302"/>
      <c r="S424" s="1375">
        <f t="shared" si="435"/>
        <v>0</v>
      </c>
      <c r="T424" s="1577"/>
      <c r="U424" s="1301"/>
      <c r="V424" s="1302"/>
      <c r="W424" s="1375">
        <f t="shared" si="437"/>
        <v>0</v>
      </c>
      <c r="X424" s="1578">
        <f t="shared" si="417"/>
        <v>0</v>
      </c>
      <c r="Y424" s="2457"/>
      <c r="Z424" s="1136"/>
      <c r="AA424" s="1136"/>
      <c r="AB424" s="1293">
        <f t="shared" si="409"/>
        <v>0</v>
      </c>
      <c r="AC424" s="1293">
        <f t="shared" si="413"/>
        <v>0</v>
      </c>
      <c r="AD424" s="1293">
        <f t="shared" si="418"/>
        <v>-7203</v>
      </c>
      <c r="AE424" s="1293">
        <f t="shared" si="412"/>
        <v>0</v>
      </c>
      <c r="AF424" s="1294"/>
      <c r="AG424" s="1294"/>
      <c r="AH424" s="1294">
        <f t="shared" si="414"/>
        <v>0</v>
      </c>
      <c r="AI424" s="1294">
        <f>T424+U424+V424-W424</f>
        <v>0</v>
      </c>
      <c r="AJ424" s="1293">
        <f t="shared" si="419"/>
        <v>0</v>
      </c>
      <c r="AK424" s="1294"/>
      <c r="AL424" s="1294"/>
      <c r="AM424" s="1294"/>
      <c r="AN424" s="1294"/>
      <c r="AO424" s="1294"/>
      <c r="AP424" s="1294"/>
      <c r="AQ424" s="1294"/>
      <c r="AR424" s="1294">
        <f t="shared" si="433"/>
        <v>0</v>
      </c>
      <c r="AS424" s="1136"/>
      <c r="AT424" s="668">
        <f t="shared" si="431"/>
        <v>210000</v>
      </c>
      <c r="AU424" s="463">
        <f>'Sl. za kom. posl.-Prilog br. 10'!G46+'Sl. za kom. posl.-Prilog br. 10'!G47+'Sl. za kom. posl.-Prilog br. 10'!G50</f>
        <v>7203.05</v>
      </c>
      <c r="AV424" s="468">
        <f t="shared" si="432"/>
        <v>210000</v>
      </c>
      <c r="AW424" s="468">
        <f t="shared" si="430"/>
        <v>-170000</v>
      </c>
      <c r="AX424" s="272"/>
      <c r="AY424" s="272"/>
      <c r="AZ424" s="272"/>
      <c r="BA424" s="272"/>
      <c r="BB424" s="272"/>
      <c r="BC424" s="455"/>
      <c r="BD424" s="455"/>
      <c r="BF424" s="437"/>
    </row>
    <row r="425" spans="1:59" ht="39" customHeight="1">
      <c r="A425" s="1572"/>
      <c r="B425" s="1573"/>
      <c r="C425" s="1573"/>
      <c r="D425" s="1604"/>
      <c r="E425" s="1604"/>
      <c r="F425" s="1797" t="s">
        <v>195</v>
      </c>
      <c r="G425" s="1871" t="s">
        <v>737</v>
      </c>
      <c r="H425" s="1575"/>
      <c r="I425" s="1575"/>
      <c r="J425" s="1575"/>
      <c r="K425" s="1374"/>
      <c r="L425" s="1577"/>
      <c r="M425" s="1301">
        <v>488250</v>
      </c>
      <c r="N425" s="1302"/>
      <c r="O425" s="1375">
        <f t="shared" si="436"/>
        <v>488250</v>
      </c>
      <c r="P425" s="1577"/>
      <c r="Q425" s="1301"/>
      <c r="R425" s="1302"/>
      <c r="S425" s="1375"/>
      <c r="T425" s="1577"/>
      <c r="U425" s="1301"/>
      <c r="V425" s="1302"/>
      <c r="W425" s="1375">
        <f t="shared" si="437"/>
        <v>0</v>
      </c>
      <c r="X425" s="1578">
        <f t="shared" si="417"/>
        <v>0</v>
      </c>
      <c r="Y425" s="2457"/>
      <c r="Z425" s="1136"/>
      <c r="AA425" s="1136"/>
      <c r="AB425" s="1293">
        <f t="shared" si="409"/>
        <v>0</v>
      </c>
      <c r="AC425" s="1293">
        <f t="shared" si="413"/>
        <v>0</v>
      </c>
      <c r="AD425" s="1293">
        <f t="shared" si="418"/>
        <v>-488250</v>
      </c>
      <c r="AE425" s="1293">
        <f t="shared" si="412"/>
        <v>0</v>
      </c>
      <c r="AF425" s="1294"/>
      <c r="AG425" s="1294"/>
      <c r="AH425" s="1294">
        <f t="shared" si="414"/>
        <v>0</v>
      </c>
      <c r="AI425" s="1294">
        <f>T425+U425+V425-W425</f>
        <v>0</v>
      </c>
      <c r="AJ425" s="1293">
        <f t="shared" si="419"/>
        <v>0</v>
      </c>
      <c r="AK425" s="1294"/>
      <c r="AL425" s="1294"/>
      <c r="AM425" s="1294"/>
      <c r="AN425" s="1294"/>
      <c r="AO425" s="1294"/>
      <c r="AP425" s="1294"/>
      <c r="AQ425" s="1294"/>
      <c r="AR425" s="1294">
        <f t="shared" si="433"/>
        <v>0</v>
      </c>
      <c r="AS425" s="1136"/>
      <c r="AT425" s="668">
        <f t="shared" si="431"/>
        <v>-1000000</v>
      </c>
      <c r="AU425" s="463">
        <f>'Sl. za kom. posl.-Prilog br. 10'!F28+'Sl. za kom. posl.-Prilog br. 10'!F29+'Sl. za kom. posl.-Prilog br. 10'!F31</f>
        <v>488250</v>
      </c>
      <c r="AV425" s="468">
        <f t="shared" si="432"/>
        <v>-1000000</v>
      </c>
      <c r="AW425" s="468">
        <f t="shared" si="430"/>
        <v>2040000</v>
      </c>
      <c r="AX425" s="272"/>
      <c r="AY425" s="272"/>
      <c r="AZ425" s="272"/>
      <c r="BA425" s="272"/>
      <c r="BB425" s="272"/>
      <c r="BC425" s="437">
        <f>'[2]PRIH REBALANS'!$AI$1039+'[2]PRIH REBALANS'!$AI$1038+'[2]PRIH REBALANS'!$AI$1011+'[2]PRIH REBALANS'!$AI$1010</f>
        <v>494953</v>
      </c>
      <c r="BD425" s="437"/>
      <c r="BE425">
        <f>W430/O426*100</f>
        <v>120.68965517241379</v>
      </c>
      <c r="BF425" s="437">
        <f>BE425-X431</f>
        <v>-144.19112640247909</v>
      </c>
    </row>
    <row r="426" spans="1:59" s="286" customFormat="1" ht="39" customHeight="1">
      <c r="A426" s="1594" t="s">
        <v>602</v>
      </c>
      <c r="B426" s="1595"/>
      <c r="C426" s="1595"/>
      <c r="D426" s="1659"/>
      <c r="E426" s="1659"/>
      <c r="F426" s="1818"/>
      <c r="G426" s="1872" t="s">
        <v>549</v>
      </c>
      <c r="H426" s="1619">
        <f t="shared" ref="H426:J426" si="438">SUM(H427:H428)</f>
        <v>140000</v>
      </c>
      <c r="I426" s="1619">
        <f t="shared" si="438"/>
        <v>0</v>
      </c>
      <c r="J426" s="1619">
        <f t="shared" si="438"/>
        <v>0</v>
      </c>
      <c r="K426" s="1585">
        <f>K427+K428</f>
        <v>140000</v>
      </c>
      <c r="L426" s="1620">
        <f>L427+L428</f>
        <v>290000</v>
      </c>
      <c r="M426" s="1313">
        <f t="shared" ref="M426:N426" si="439">M427+M428</f>
        <v>0</v>
      </c>
      <c r="N426" s="1338">
        <f t="shared" si="439"/>
        <v>0</v>
      </c>
      <c r="O426" s="1335">
        <f>O427+O428</f>
        <v>290000</v>
      </c>
      <c r="P426" s="1620">
        <f>SUM(P427:P428)</f>
        <v>290000</v>
      </c>
      <c r="Q426" s="1313"/>
      <c r="R426" s="1338"/>
      <c r="S426" s="1335">
        <f>SUM(S427:S428)</f>
        <v>290000</v>
      </c>
      <c r="T426" s="1620">
        <v>290000</v>
      </c>
      <c r="U426" s="1313"/>
      <c r="V426" s="1338"/>
      <c r="W426" s="1315">
        <v>290000</v>
      </c>
      <c r="X426" s="1598">
        <f t="shared" si="417"/>
        <v>100</v>
      </c>
      <c r="Y426" s="758">
        <f>'[1]PRIH REBALANS'!$AK$1037</f>
        <v>290000</v>
      </c>
      <c r="Z426" s="1135"/>
      <c r="AA426" s="1135">
        <f>'[9]PRIH REBALANS'!$AK$1037</f>
        <v>290000</v>
      </c>
      <c r="AB426" s="1293">
        <f t="shared" si="409"/>
        <v>0</v>
      </c>
      <c r="AC426" s="1293">
        <f t="shared" si="413"/>
        <v>0</v>
      </c>
      <c r="AD426" s="1293">
        <f t="shared" si="418"/>
        <v>0</v>
      </c>
      <c r="AE426" s="1293">
        <f t="shared" si="412"/>
        <v>0</v>
      </c>
      <c r="AF426" s="1293"/>
      <c r="AG426" s="1293"/>
      <c r="AH426" s="1294">
        <f t="shared" si="414"/>
        <v>0</v>
      </c>
      <c r="AI426" s="1294">
        <f>'[8]PRIH REBALANS'!$AK$1035</f>
        <v>290000</v>
      </c>
      <c r="AJ426" s="1293">
        <f t="shared" si="419"/>
        <v>0</v>
      </c>
      <c r="AK426" s="1294"/>
      <c r="AL426" s="1294"/>
      <c r="AM426" s="1294"/>
      <c r="AN426" s="1294"/>
      <c r="AO426" s="1294"/>
      <c r="AP426" s="1294"/>
      <c r="AQ426" s="1294">
        <f>SUM(W427:W428)</f>
        <v>290000</v>
      </c>
      <c r="AR426" s="1294">
        <f t="shared" si="433"/>
        <v>0</v>
      </c>
      <c r="AS426" s="1135" t="e">
        <f>SUM(#REF!)</f>
        <v>#REF!</v>
      </c>
      <c r="AT426" s="668">
        <f t="shared" si="431"/>
        <v>690000</v>
      </c>
      <c r="AU426" s="668">
        <f>AU425-U428</f>
        <v>488250</v>
      </c>
      <c r="AV426" s="468">
        <f t="shared" si="432"/>
        <v>690000</v>
      </c>
      <c r="AW426" s="468">
        <f t="shared" si="430"/>
        <v>-340000</v>
      </c>
      <c r="AX426" s="668"/>
      <c r="AY426" s="668"/>
      <c r="AZ426" s="668"/>
      <c r="BA426" s="668"/>
      <c r="BB426" s="668"/>
      <c r="BC426" s="437">
        <f>T429+U429+V429+-W430</f>
        <v>690000</v>
      </c>
      <c r="BD426" s="437"/>
      <c r="BE426" t="e">
        <f>#REF!/O427*100</f>
        <v>#REF!</v>
      </c>
      <c r="BF426" s="437" t="e">
        <f>BE426-X432</f>
        <v>#REF!</v>
      </c>
      <c r="BG426" s="467" t="e">
        <f>SUM(#REF!)</f>
        <v>#REF!</v>
      </c>
    </row>
    <row r="427" spans="1:59" ht="39" customHeight="1">
      <c r="A427" s="1376"/>
      <c r="B427" s="1573"/>
      <c r="C427" s="1573"/>
      <c r="D427" s="1604"/>
      <c r="E427" s="1604"/>
      <c r="F427" s="1797">
        <v>613991</v>
      </c>
      <c r="G427" s="1871" t="s">
        <v>550</v>
      </c>
      <c r="H427" s="1575">
        <v>120000</v>
      </c>
      <c r="I427" s="1575"/>
      <c r="J427" s="1575"/>
      <c r="K427" s="1374">
        <f>H428</f>
        <v>20000</v>
      </c>
      <c r="L427" s="1577">
        <v>250000</v>
      </c>
      <c r="M427" s="1301"/>
      <c r="N427" s="1302"/>
      <c r="O427" s="1375">
        <f>SUM(L427:N427)</f>
        <v>250000</v>
      </c>
      <c r="P427" s="1577">
        <v>250000</v>
      </c>
      <c r="Q427" s="1301"/>
      <c r="R427" s="1302"/>
      <c r="S427" s="1375">
        <f>SUM(P427:R427)</f>
        <v>250000</v>
      </c>
      <c r="T427" s="1577">
        <v>250000</v>
      </c>
      <c r="U427" s="1301"/>
      <c r="V427" s="1302"/>
      <c r="W427" s="1325">
        <v>250000</v>
      </c>
      <c r="X427" s="1578">
        <f t="shared" si="417"/>
        <v>100</v>
      </c>
      <c r="Y427" s="2457"/>
      <c r="Z427" s="1136"/>
      <c r="AA427" s="1136"/>
      <c r="AB427" s="1293">
        <f t="shared" si="409"/>
        <v>0</v>
      </c>
      <c r="AC427" s="1293">
        <f t="shared" si="413"/>
        <v>0</v>
      </c>
      <c r="AD427" s="1293">
        <f t="shared" si="418"/>
        <v>0</v>
      </c>
      <c r="AE427" s="1293">
        <f t="shared" si="412"/>
        <v>0</v>
      </c>
      <c r="AF427" s="1294"/>
      <c r="AG427" s="1294"/>
      <c r="AH427" s="1294">
        <f t="shared" si="414"/>
        <v>0</v>
      </c>
      <c r="AI427" s="1294">
        <f>T427+U427+V427-W427</f>
        <v>0</v>
      </c>
      <c r="AJ427" s="1293">
        <f t="shared" si="419"/>
        <v>0</v>
      </c>
      <c r="AK427" s="1294"/>
      <c r="AL427" s="1294"/>
      <c r="AM427" s="1294"/>
      <c r="AN427" s="1294"/>
      <c r="AO427" s="1294"/>
      <c r="AP427" s="1294"/>
      <c r="AQ427" s="1294"/>
      <c r="AR427" s="1294">
        <f t="shared" si="433"/>
        <v>0</v>
      </c>
      <c r="AS427" s="1136"/>
      <c r="AT427" s="668" t="e">
        <f>T430+U430+V430-#REF!</f>
        <v>#REF!</v>
      </c>
      <c r="AU427" s="463"/>
      <c r="AV427" s="468" t="e">
        <f>T430+U430+V430-#REF!</f>
        <v>#REF!</v>
      </c>
      <c r="AW427" s="468" t="e">
        <f>#REF!-AV427</f>
        <v>#REF!</v>
      </c>
      <c r="AX427" s="272"/>
      <c r="AY427" s="272"/>
      <c r="AZ427" s="272"/>
      <c r="BA427" s="272"/>
      <c r="BB427" s="272"/>
      <c r="BC427" s="437" t="e">
        <f>T430+U430+V430+-#REF!</f>
        <v>#REF!</v>
      </c>
      <c r="BD427" s="437"/>
      <c r="BE427" t="e">
        <f>#REF!/O428*100</f>
        <v>#REF!</v>
      </c>
      <c r="BF427" s="437" t="e">
        <f>BE427-X433</f>
        <v>#REF!</v>
      </c>
    </row>
    <row r="428" spans="1:59" ht="39" customHeight="1">
      <c r="A428" s="1376"/>
      <c r="B428" s="1573"/>
      <c r="C428" s="1573"/>
      <c r="D428" s="1604"/>
      <c r="E428" s="1604"/>
      <c r="F428" s="1797" t="s">
        <v>551</v>
      </c>
      <c r="G428" s="1871" t="s">
        <v>738</v>
      </c>
      <c r="H428" s="1575">
        <v>20000</v>
      </c>
      <c r="I428" s="1575"/>
      <c r="J428" s="1575"/>
      <c r="K428" s="1374">
        <f>H427</f>
        <v>120000</v>
      </c>
      <c r="L428" s="1577">
        <v>40000</v>
      </c>
      <c r="M428" s="1301"/>
      <c r="N428" s="1302"/>
      <c r="O428" s="1375">
        <f>SUM(L428:N428)</f>
        <v>40000</v>
      </c>
      <c r="P428" s="1577">
        <v>40000</v>
      </c>
      <c r="Q428" s="1301"/>
      <c r="R428" s="1302"/>
      <c r="S428" s="1375">
        <f>SUM(P428:R428)</f>
        <v>40000</v>
      </c>
      <c r="T428" s="1577">
        <v>40000</v>
      </c>
      <c r="U428" s="1301"/>
      <c r="V428" s="1302"/>
      <c r="W428" s="1325">
        <v>40000</v>
      </c>
      <c r="X428" s="1578">
        <f t="shared" si="417"/>
        <v>100</v>
      </c>
      <c r="Y428" s="2457"/>
      <c r="Z428" s="1136"/>
      <c r="AA428" s="1136"/>
      <c r="AB428" s="1293">
        <f t="shared" si="409"/>
        <v>0</v>
      </c>
      <c r="AC428" s="1293">
        <f t="shared" si="413"/>
        <v>0</v>
      </c>
      <c r="AD428" s="1293">
        <f t="shared" si="418"/>
        <v>0</v>
      </c>
      <c r="AE428" s="1293">
        <f t="shared" si="412"/>
        <v>0</v>
      </c>
      <c r="AF428" s="1294"/>
      <c r="AG428" s="1294"/>
      <c r="AH428" s="1294">
        <f t="shared" si="414"/>
        <v>0</v>
      </c>
      <c r="AI428" s="1294">
        <f>T428+U428+V428-W428</f>
        <v>0</v>
      </c>
      <c r="AJ428" s="1293">
        <f t="shared" si="419"/>
        <v>0</v>
      </c>
      <c r="AK428" s="1294"/>
      <c r="AL428" s="1294"/>
      <c r="AM428" s="1294"/>
      <c r="AN428" s="1294"/>
      <c r="AO428" s="1294"/>
      <c r="AP428" s="1294"/>
      <c r="AQ428" s="1294"/>
      <c r="AR428" s="1294">
        <f t="shared" si="433"/>
        <v>0</v>
      </c>
      <c r="AS428" s="1136"/>
      <c r="AT428" s="668" t="e">
        <f>#REF!+#REF!+#REF!-#REF!</f>
        <v>#REF!</v>
      </c>
      <c r="AU428" s="463"/>
      <c r="AV428" s="468" t="e">
        <f>#REF!+#REF!+#REF!-#REF!</f>
        <v>#REF!</v>
      </c>
      <c r="AW428" s="468" t="e">
        <f>#REF!-AV428</f>
        <v>#REF!</v>
      </c>
      <c r="AX428" s="272"/>
      <c r="AY428" s="272"/>
      <c r="AZ428" s="272"/>
      <c r="BA428" s="272"/>
      <c r="BB428" s="272"/>
      <c r="BC428" s="437" t="e">
        <f>#REF!+#REF!+#REF!+-#REF!</f>
        <v>#REF!</v>
      </c>
      <c r="BD428" s="437"/>
      <c r="BE428">
        <f>W431/O429*100</f>
        <v>169.70245502884941</v>
      </c>
      <c r="BF428" s="437">
        <f>BE428-X434</f>
        <v>-180.29754497115059</v>
      </c>
    </row>
    <row r="429" spans="1:59" ht="39" customHeight="1">
      <c r="A429" s="1594" t="s">
        <v>603</v>
      </c>
      <c r="B429" s="1618"/>
      <c r="C429" s="1618"/>
      <c r="D429" s="1677"/>
      <c r="E429" s="1677"/>
      <c r="F429" s="1818"/>
      <c r="G429" s="1862" t="s">
        <v>552</v>
      </c>
      <c r="H429" s="1619">
        <f t="shared" ref="H429:J429" si="440">SUM(H434)</f>
        <v>10000</v>
      </c>
      <c r="I429" s="1619">
        <f t="shared" si="440"/>
        <v>0</v>
      </c>
      <c r="J429" s="1619">
        <f t="shared" si="440"/>
        <v>0</v>
      </c>
      <c r="K429" s="1585" t="e">
        <f>#REF!</f>
        <v>#REF!</v>
      </c>
      <c r="L429" s="1620">
        <f>SUM(L430:L434)</f>
        <v>116000</v>
      </c>
      <c r="M429" s="1313">
        <f>SUM(M430:M434)</f>
        <v>0</v>
      </c>
      <c r="N429" s="1314">
        <f>SUM(N430:N434)</f>
        <v>237560</v>
      </c>
      <c r="O429" s="1335">
        <f>SUM(O430:O434)</f>
        <v>353560</v>
      </c>
      <c r="P429" s="1620">
        <f>SUM(P430:P434)</f>
        <v>600000</v>
      </c>
      <c r="Q429" s="1313"/>
      <c r="R429" s="1314">
        <f>SUM(R430:R433)</f>
        <v>1000000</v>
      </c>
      <c r="S429" s="1335">
        <f>SUM(S431:S433)</f>
        <v>1150000</v>
      </c>
      <c r="T429" s="1620">
        <f>SUM(T430:T434)</f>
        <v>470000</v>
      </c>
      <c r="U429" s="1313"/>
      <c r="V429" s="1314">
        <f>SUM(V430:V433)</f>
        <v>570000</v>
      </c>
      <c r="W429" s="1315">
        <f>SUM(W430:W434)</f>
        <v>1040000</v>
      </c>
      <c r="X429" s="1598">
        <f t="shared" si="417"/>
        <v>294.15092205000565</v>
      </c>
      <c r="Y429" s="758">
        <f>'[1]PRIH REBALANS'!$AK$1040</f>
        <v>1040000</v>
      </c>
      <c r="Z429" s="1135">
        <f>'BSC Prilog br 11'!P6</f>
        <v>1040000</v>
      </c>
      <c r="AA429" s="1135">
        <f>'[9]PRIH REBALANS'!$AK$1040</f>
        <v>1040000</v>
      </c>
      <c r="AB429" s="1293">
        <f t="shared" si="409"/>
        <v>0</v>
      </c>
      <c r="AC429" s="1293">
        <f t="shared" si="413"/>
        <v>0</v>
      </c>
      <c r="AD429" s="1293">
        <f t="shared" si="418"/>
        <v>686440</v>
      </c>
      <c r="AE429" s="1293">
        <f t="shared" si="412"/>
        <v>0</v>
      </c>
      <c r="AF429" s="1293"/>
      <c r="AG429" s="1293"/>
      <c r="AH429" s="1294">
        <f t="shared" si="414"/>
        <v>354000</v>
      </c>
      <c r="AI429" s="1294">
        <f>T429+U429+V429-W429</f>
        <v>0</v>
      </c>
      <c r="AJ429" s="1293">
        <f t="shared" si="419"/>
        <v>0</v>
      </c>
      <c r="AK429" s="1294"/>
      <c r="AL429" s="1294"/>
      <c r="AM429" s="1294"/>
      <c r="AN429" s="1294"/>
      <c r="AO429" s="1294"/>
      <c r="AP429" s="1294"/>
      <c r="AQ429" s="1294">
        <f>SUM(W430:W434)</f>
        <v>1040000</v>
      </c>
      <c r="AR429" s="1294">
        <f t="shared" si="433"/>
        <v>0</v>
      </c>
      <c r="AS429" s="1135">
        <f>SUM(W432:W439)</f>
        <v>1983500</v>
      </c>
      <c r="AT429" s="668" t="e">
        <f>#REF!+#REF!+#REF!-W431</f>
        <v>#REF!</v>
      </c>
      <c r="AU429" s="668">
        <f>'BSC Prilog br 11'!H6</f>
        <v>353560.21</v>
      </c>
      <c r="AV429" s="468" t="e">
        <f>#REF!+#REF!+#REF!-W431</f>
        <v>#REF!</v>
      </c>
      <c r="AW429" s="468" t="e">
        <f>W431-AV429</f>
        <v>#REF!</v>
      </c>
      <c r="AX429" s="675"/>
      <c r="AY429" s="675"/>
      <c r="AZ429" s="675"/>
      <c r="BA429" s="675"/>
      <c r="BB429" s="675"/>
      <c r="BC429" s="437">
        <f>'[2]PRIH REBALANS'!$AK$1052</f>
        <v>257560</v>
      </c>
      <c r="BD429" s="437"/>
      <c r="BE429">
        <f>W432/O430*100</f>
        <v>0</v>
      </c>
      <c r="BF429" s="437">
        <f>BE429-X437</f>
        <v>-124.57257184430701</v>
      </c>
      <c r="BG429" s="209">
        <f>SUM(W432:W439)</f>
        <v>1983500</v>
      </c>
    </row>
    <row r="430" spans="1:59" ht="39" customHeight="1">
      <c r="A430" s="1683"/>
      <c r="B430" s="1684"/>
      <c r="C430" s="1684"/>
      <c r="D430" s="1606" t="s">
        <v>474</v>
      </c>
      <c r="E430" s="1606" t="s">
        <v>206</v>
      </c>
      <c r="F430" s="1797" t="s">
        <v>188</v>
      </c>
      <c r="G430" s="1850" t="s">
        <v>553</v>
      </c>
      <c r="H430" s="1575"/>
      <c r="I430" s="1575"/>
      <c r="J430" s="1575"/>
      <c r="K430" s="1374"/>
      <c r="L430" s="1577"/>
      <c r="M430" s="1301"/>
      <c r="N430" s="1302">
        <v>87043</v>
      </c>
      <c r="O430" s="1433">
        <f>SUM(L430:N430)</f>
        <v>87043</v>
      </c>
      <c r="P430" s="1577"/>
      <c r="Q430" s="1301"/>
      <c r="R430" s="1334">
        <v>350000</v>
      </c>
      <c r="S430" s="1433">
        <f>SUM(P430:R430)</f>
        <v>350000</v>
      </c>
      <c r="T430" s="1577"/>
      <c r="U430" s="1301"/>
      <c r="V430" s="1334">
        <v>350000</v>
      </c>
      <c r="W430" s="1433">
        <f>SUM(T430:V430)</f>
        <v>350000</v>
      </c>
      <c r="X430" s="1578">
        <f t="shared" si="417"/>
        <v>402.1001114391737</v>
      </c>
      <c r="Y430" s="2457">
        <f>'[1]PRIH REBALANS'!$AJ$1041</f>
        <v>350000</v>
      </c>
      <c r="Z430" s="1136"/>
      <c r="AA430" s="1136"/>
      <c r="AB430" s="1293">
        <f t="shared" si="409"/>
        <v>0</v>
      </c>
      <c r="AC430" s="1293">
        <f t="shared" si="413"/>
        <v>0</v>
      </c>
      <c r="AD430" s="1293">
        <f t="shared" si="418"/>
        <v>262957</v>
      </c>
      <c r="AE430" s="1293">
        <f t="shared" si="412"/>
        <v>0</v>
      </c>
      <c r="AF430" s="1294"/>
      <c r="AG430" s="1294"/>
      <c r="AH430" s="1294">
        <f t="shared" si="414"/>
        <v>0</v>
      </c>
      <c r="AI430" s="1294">
        <f>'[8]PRIH REBALANS'!$AJ$1039</f>
        <v>350000</v>
      </c>
      <c r="AJ430" s="1293">
        <f t="shared" si="419"/>
        <v>0</v>
      </c>
      <c r="AK430" s="1294"/>
      <c r="AL430" s="1294"/>
      <c r="AM430" s="1294"/>
      <c r="AN430" s="1294"/>
      <c r="AO430" s="1294"/>
      <c r="AP430" s="1294"/>
      <c r="AQ430" s="1294"/>
      <c r="AR430" s="1294">
        <f t="shared" si="433"/>
        <v>0</v>
      </c>
      <c r="AS430" s="1136"/>
      <c r="AT430" s="668">
        <f>T431+U431+V431-W432</f>
        <v>600000</v>
      </c>
      <c r="AU430" s="463"/>
      <c r="AV430" s="468">
        <f>T431+U431+V431-W432</f>
        <v>600000</v>
      </c>
      <c r="AW430" s="468">
        <f>W432-AV430</f>
        <v>-600000</v>
      </c>
      <c r="AX430" s="272"/>
      <c r="AY430" s="272"/>
      <c r="AZ430" s="272"/>
      <c r="BA430" s="272"/>
      <c r="BB430" s="272"/>
      <c r="BC430" s="437">
        <f>T431+U431+V431+-W432</f>
        <v>600000</v>
      </c>
      <c r="BD430" s="437"/>
      <c r="BE430">
        <f>W433/O431*100</f>
        <v>8.8293593858297612</v>
      </c>
      <c r="BF430" s="437">
        <f>BE430-X438</f>
        <v>-91.607799084115598</v>
      </c>
    </row>
    <row r="431" spans="1:59" ht="39" customHeight="1">
      <c r="A431" s="1624"/>
      <c r="B431" s="1629"/>
      <c r="C431" s="1629"/>
      <c r="D431" s="1606" t="s">
        <v>474</v>
      </c>
      <c r="E431" s="1606" t="s">
        <v>469</v>
      </c>
      <c r="F431" s="1797" t="s">
        <v>195</v>
      </c>
      <c r="G431" s="1850" t="s">
        <v>553</v>
      </c>
      <c r="H431" s="1575"/>
      <c r="I431" s="1575"/>
      <c r="J431" s="1575"/>
      <c r="K431" s="1374"/>
      <c r="L431" s="1577">
        <v>96000</v>
      </c>
      <c r="M431" s="1303"/>
      <c r="N431" s="1302">
        <v>130517</v>
      </c>
      <c r="O431" s="1433">
        <f t="shared" ref="O431:O434" si="441">SUM(L431:N431)</f>
        <v>226517</v>
      </c>
      <c r="P431" s="1577">
        <v>500000</v>
      </c>
      <c r="Q431" s="1303"/>
      <c r="R431" s="1334">
        <v>600000</v>
      </c>
      <c r="S431" s="1433">
        <f t="shared" ref="S431:S434" si="442">SUM(P431:R431)</f>
        <v>1100000</v>
      </c>
      <c r="T431" s="1577">
        <v>400000</v>
      </c>
      <c r="U431" s="1303"/>
      <c r="V431" s="1334">
        <v>200000</v>
      </c>
      <c r="W431" s="1433">
        <f t="shared" ref="W431:W434" si="443">SUM(T431:V431)</f>
        <v>600000</v>
      </c>
      <c r="X431" s="1578">
        <f t="shared" si="417"/>
        <v>264.88078157489286</v>
      </c>
      <c r="Y431" s="2457">
        <f>'[1]PRIH REBALANS'!$AG$1043</f>
        <v>400000</v>
      </c>
      <c r="Z431" s="1136"/>
      <c r="AA431" s="1136"/>
      <c r="AB431" s="1293">
        <f t="shared" si="409"/>
        <v>0</v>
      </c>
      <c r="AC431" s="1293">
        <f t="shared" si="413"/>
        <v>0</v>
      </c>
      <c r="AD431" s="1293">
        <f t="shared" si="418"/>
        <v>373483</v>
      </c>
      <c r="AE431" s="1293">
        <f t="shared" si="412"/>
        <v>0</v>
      </c>
      <c r="AF431" s="1294"/>
      <c r="AG431" s="1294"/>
      <c r="AH431" s="1294">
        <f t="shared" si="414"/>
        <v>304000</v>
      </c>
      <c r="AI431" s="1294">
        <f>T431+U431+V431-W431</f>
        <v>0</v>
      </c>
      <c r="AJ431" s="1293">
        <f t="shared" si="419"/>
        <v>0</v>
      </c>
      <c r="AK431" s="1294"/>
      <c r="AL431" s="1294"/>
      <c r="AM431" s="1294"/>
      <c r="AN431" s="1294"/>
      <c r="AO431" s="1294"/>
      <c r="AP431" s="1294"/>
      <c r="AQ431" s="1294"/>
      <c r="AR431" s="1294">
        <f t="shared" si="433"/>
        <v>0</v>
      </c>
      <c r="AS431" s="1136"/>
      <c r="AT431" s="668">
        <f>T432+U432+V432-W433</f>
        <v>-20000</v>
      </c>
      <c r="AU431" s="463"/>
      <c r="AV431" s="468">
        <f>T432+U432+V432-W433</f>
        <v>-20000</v>
      </c>
      <c r="AW431" s="468">
        <f>W433-AV431</f>
        <v>40000</v>
      </c>
      <c r="AX431" s="272"/>
      <c r="AY431" s="272"/>
      <c r="AZ431" s="272"/>
      <c r="BA431" s="272"/>
      <c r="BB431" s="272"/>
      <c r="BC431" s="437">
        <f>T432+U432+V432+-W433</f>
        <v>-20000</v>
      </c>
      <c r="BD431" s="437"/>
      <c r="BF431" s="437"/>
    </row>
    <row r="432" spans="1:59" ht="39" customHeight="1">
      <c r="A432" s="1624"/>
      <c r="B432" s="1629"/>
      <c r="C432" s="1629"/>
      <c r="D432" s="1606"/>
      <c r="E432" s="1606"/>
      <c r="F432" s="1797" t="s">
        <v>404</v>
      </c>
      <c r="G432" s="1850" t="s">
        <v>1469</v>
      </c>
      <c r="H432" s="1575"/>
      <c r="I432" s="1575"/>
      <c r="J432" s="1575"/>
      <c r="K432" s="1374"/>
      <c r="L432" s="1577"/>
      <c r="M432" s="1303"/>
      <c r="N432" s="1302">
        <v>20000</v>
      </c>
      <c r="O432" s="1433">
        <f t="shared" si="441"/>
        <v>20000</v>
      </c>
      <c r="P432" s="1577"/>
      <c r="Q432" s="1303"/>
      <c r="R432" s="1334"/>
      <c r="S432" s="1433">
        <f t="shared" si="442"/>
        <v>0</v>
      </c>
      <c r="T432" s="1577"/>
      <c r="U432" s="1303"/>
      <c r="V432" s="1334"/>
      <c r="W432" s="1433">
        <f t="shared" si="443"/>
        <v>0</v>
      </c>
      <c r="X432" s="1578">
        <f t="shared" si="417"/>
        <v>0</v>
      </c>
      <c r="Y432" s="2457"/>
      <c r="Z432" s="1136"/>
      <c r="AA432" s="1136"/>
      <c r="AB432" s="1293">
        <f t="shared" si="409"/>
        <v>0</v>
      </c>
      <c r="AC432" s="1293">
        <f t="shared" si="413"/>
        <v>0</v>
      </c>
      <c r="AD432" s="1293">
        <f t="shared" si="418"/>
        <v>-20000</v>
      </c>
      <c r="AE432" s="1293">
        <f t="shared" si="412"/>
        <v>0</v>
      </c>
      <c r="AF432" s="1294"/>
      <c r="AG432" s="1294"/>
      <c r="AH432" s="1294">
        <f t="shared" si="414"/>
        <v>0</v>
      </c>
      <c r="AI432" s="1294">
        <f>T432+U432+V432-W432</f>
        <v>0</v>
      </c>
      <c r="AJ432" s="1293">
        <f t="shared" si="419"/>
        <v>0</v>
      </c>
      <c r="AK432" s="1294"/>
      <c r="AL432" s="1294"/>
      <c r="AM432" s="1294"/>
      <c r="AN432" s="1294"/>
      <c r="AO432" s="1294"/>
      <c r="AP432" s="1294"/>
      <c r="AQ432" s="1294"/>
      <c r="AR432" s="1294">
        <f t="shared" si="433"/>
        <v>0</v>
      </c>
      <c r="AS432" s="1136"/>
      <c r="AT432" s="668">
        <f>T433+U433+V433-W436</f>
        <v>20000</v>
      </c>
      <c r="AU432" s="463"/>
      <c r="AV432" s="468">
        <f>T433+U433+V433-W436</f>
        <v>20000</v>
      </c>
      <c r="AW432" s="468">
        <f>W436-AV432</f>
        <v>-20000</v>
      </c>
      <c r="AX432" s="272"/>
      <c r="AY432" s="272"/>
      <c r="AZ432" s="272"/>
      <c r="BA432" s="272"/>
      <c r="BB432" s="272"/>
      <c r="BC432" s="437"/>
      <c r="BD432" s="437"/>
      <c r="BE432" t="e">
        <f t="shared" ref="BE432:BE456" si="444">W438/O433*100</f>
        <v>#DIV/0!</v>
      </c>
      <c r="BF432" s="437" t="e">
        <f t="shared" ref="BF432:BF455" si="445">BE432-X440</f>
        <v>#DIV/0!</v>
      </c>
    </row>
    <row r="433" spans="1:59" ht="39" customHeight="1">
      <c r="A433" s="1624"/>
      <c r="B433" s="1629"/>
      <c r="C433" s="1629"/>
      <c r="D433" s="1606" t="s">
        <v>337</v>
      </c>
      <c r="E433" s="1606"/>
      <c r="F433" s="1797" t="s">
        <v>195</v>
      </c>
      <c r="G433" s="1850" t="s">
        <v>555</v>
      </c>
      <c r="H433" s="1575"/>
      <c r="I433" s="1575"/>
      <c r="J433" s="1575"/>
      <c r="K433" s="1374"/>
      <c r="L433" s="1577"/>
      <c r="M433" s="1303"/>
      <c r="N433" s="1334"/>
      <c r="O433" s="1433">
        <f t="shared" si="441"/>
        <v>0</v>
      </c>
      <c r="P433" s="1577"/>
      <c r="Q433" s="1303"/>
      <c r="R433" s="1334">
        <v>50000</v>
      </c>
      <c r="S433" s="1433">
        <f t="shared" si="442"/>
        <v>50000</v>
      </c>
      <c r="T433" s="1577"/>
      <c r="U433" s="1303"/>
      <c r="V433" s="1334">
        <v>20000</v>
      </c>
      <c r="W433" s="1433">
        <f t="shared" si="443"/>
        <v>20000</v>
      </c>
      <c r="X433" s="1578"/>
      <c r="Y433" s="2457"/>
      <c r="Z433" s="1136"/>
      <c r="AA433" s="1136"/>
      <c r="AB433" s="1293">
        <f t="shared" si="409"/>
        <v>0</v>
      </c>
      <c r="AC433" s="1293">
        <f t="shared" si="413"/>
        <v>0</v>
      </c>
      <c r="AD433" s="1293">
        <f t="shared" si="418"/>
        <v>20000</v>
      </c>
      <c r="AE433" s="1293">
        <f t="shared" si="412"/>
        <v>0</v>
      </c>
      <c r="AF433" s="1294"/>
      <c r="AG433" s="1294"/>
      <c r="AH433" s="1294">
        <f t="shared" si="414"/>
        <v>0</v>
      </c>
      <c r="AI433" s="1294">
        <f>T433+U433+V433-W433</f>
        <v>0</v>
      </c>
      <c r="AJ433" s="1293">
        <f t="shared" si="419"/>
        <v>0</v>
      </c>
      <c r="AK433" s="1294"/>
      <c r="AL433" s="1294"/>
      <c r="AM433" s="1294"/>
      <c r="AN433" s="1294"/>
      <c r="AO433" s="1294"/>
      <c r="AP433" s="1294"/>
      <c r="AQ433" s="1294"/>
      <c r="AR433" s="1294">
        <f t="shared" si="433"/>
        <v>0</v>
      </c>
      <c r="AS433" s="1136"/>
      <c r="AT433" s="668">
        <f>T436+U436+V436-W438</f>
        <v>-275700</v>
      </c>
      <c r="AU433" s="463"/>
      <c r="AV433" s="468">
        <f>T436+U436+V436-W438</f>
        <v>-275700</v>
      </c>
      <c r="AW433" s="468">
        <f t="shared" ref="AW433:AW457" si="446">W438-AV433</f>
        <v>551400</v>
      </c>
      <c r="AX433" s="272"/>
      <c r="AY433" s="272"/>
      <c r="AZ433" s="272"/>
      <c r="BA433" s="272"/>
      <c r="BB433" s="272"/>
      <c r="BC433" s="437">
        <f>T436+U436+V436+-W438</f>
        <v>-275700</v>
      </c>
      <c r="BD433" s="437"/>
      <c r="BE433">
        <f t="shared" si="444"/>
        <v>1240</v>
      </c>
      <c r="BF433" s="437">
        <f t="shared" si="445"/>
        <v>1138.0392156862745</v>
      </c>
    </row>
    <row r="434" spans="1:59" ht="39" customHeight="1">
      <c r="A434" s="1624"/>
      <c r="B434" s="1625"/>
      <c r="C434" s="1625"/>
      <c r="D434" s="1606" t="s">
        <v>319</v>
      </c>
      <c r="E434" s="1604" t="s">
        <v>469</v>
      </c>
      <c r="F434" s="1797">
        <v>613991</v>
      </c>
      <c r="G434" s="1850" t="s">
        <v>556</v>
      </c>
      <c r="H434" s="1575">
        <v>10000</v>
      </c>
      <c r="I434" s="1575"/>
      <c r="J434" s="1575"/>
      <c r="K434" s="1374">
        <f>SUM(H434:J434)</f>
        <v>10000</v>
      </c>
      <c r="L434" s="1577">
        <v>20000</v>
      </c>
      <c r="M434" s="1303"/>
      <c r="N434" s="1334"/>
      <c r="O434" s="1433">
        <f t="shared" si="441"/>
        <v>20000</v>
      </c>
      <c r="P434" s="1577">
        <v>100000</v>
      </c>
      <c r="Q434" s="1303"/>
      <c r="R434" s="1334"/>
      <c r="S434" s="1433">
        <f t="shared" si="442"/>
        <v>100000</v>
      </c>
      <c r="T434" s="1577">
        <v>70000</v>
      </c>
      <c r="U434" s="1303"/>
      <c r="V434" s="1334"/>
      <c r="W434" s="1433">
        <f t="shared" si="443"/>
        <v>70000</v>
      </c>
      <c r="X434" s="1578">
        <f t="shared" si="417"/>
        <v>350</v>
      </c>
      <c r="Y434" s="2457"/>
      <c r="Z434" s="1136"/>
      <c r="AA434" s="1136"/>
      <c r="AB434" s="1293">
        <f t="shared" si="409"/>
        <v>0</v>
      </c>
      <c r="AC434" s="1293">
        <f t="shared" si="413"/>
        <v>0</v>
      </c>
      <c r="AD434" s="1293">
        <f t="shared" si="418"/>
        <v>50000</v>
      </c>
      <c r="AE434" s="1293">
        <f t="shared" si="412"/>
        <v>0</v>
      </c>
      <c r="AF434" s="1294"/>
      <c r="AG434" s="1294"/>
      <c r="AH434" s="1294">
        <f t="shared" si="414"/>
        <v>50000</v>
      </c>
      <c r="AI434" s="1294">
        <f>T434+U434+V434-W434</f>
        <v>0</v>
      </c>
      <c r="AJ434" s="1293">
        <f t="shared" si="419"/>
        <v>0</v>
      </c>
      <c r="AK434" s="1294"/>
      <c r="AL434" s="1294"/>
      <c r="AM434" s="1294"/>
      <c r="AN434" s="1294"/>
      <c r="AO434" s="1294"/>
      <c r="AP434" s="1294"/>
      <c r="AQ434" s="1294"/>
      <c r="AR434" s="1294">
        <f t="shared" si="433"/>
        <v>0</v>
      </c>
      <c r="AS434" s="1136"/>
      <c r="AT434" s="668">
        <f t="shared" ref="AT434:AT457" si="447">T438+U438+V438-W439</f>
        <v>27700</v>
      </c>
      <c r="AU434" s="463"/>
      <c r="AV434" s="468">
        <f t="shared" ref="AV434:AV457" si="448">T438+U438+V438-W439</f>
        <v>27700</v>
      </c>
      <c r="AW434" s="468">
        <f t="shared" si="446"/>
        <v>220300</v>
      </c>
      <c r="AX434" s="272"/>
      <c r="AY434" s="272"/>
      <c r="AZ434" s="272"/>
      <c r="BA434" s="272"/>
      <c r="BB434" s="272"/>
      <c r="BC434" s="437">
        <f>T438+U438+V438+-W439</f>
        <v>27700</v>
      </c>
      <c r="BD434" s="437"/>
      <c r="BE434">
        <f t="shared" si="444"/>
        <v>30.920334667151689</v>
      </c>
      <c r="BF434" s="437">
        <f t="shared" si="445"/>
        <v>-71.672257925440903</v>
      </c>
    </row>
    <row r="435" spans="1:59" ht="39" customHeight="1">
      <c r="A435" s="1661" t="s">
        <v>557</v>
      </c>
      <c r="B435" s="1595" t="s">
        <v>204</v>
      </c>
      <c r="C435" s="1595" t="s">
        <v>205</v>
      </c>
      <c r="D435" s="1677" t="s">
        <v>554</v>
      </c>
      <c r="E435" s="1677" t="s">
        <v>469</v>
      </c>
      <c r="F435" s="1823"/>
      <c r="G435" s="1687" t="s">
        <v>558</v>
      </c>
      <c r="H435" s="1619">
        <f t="shared" ref="H435:W435" si="449">SUM(H437,)</f>
        <v>487700</v>
      </c>
      <c r="I435" s="1619">
        <f t="shared" si="449"/>
        <v>0</v>
      </c>
      <c r="J435" s="1619">
        <f t="shared" si="449"/>
        <v>0</v>
      </c>
      <c r="K435" s="1585">
        <f t="shared" si="449"/>
        <v>487700</v>
      </c>
      <c r="L435" s="1620">
        <f t="shared" si="449"/>
        <v>549800</v>
      </c>
      <c r="M435" s="1313">
        <f t="shared" si="449"/>
        <v>0</v>
      </c>
      <c r="N435" s="1314">
        <f t="shared" si="449"/>
        <v>0</v>
      </c>
      <c r="O435" s="1335">
        <f t="shared" si="449"/>
        <v>549800</v>
      </c>
      <c r="P435" s="1620">
        <f t="shared" si="449"/>
        <v>757320</v>
      </c>
      <c r="Q435" s="1313">
        <f t="shared" si="449"/>
        <v>0</v>
      </c>
      <c r="R435" s="1314">
        <f t="shared" si="449"/>
        <v>0</v>
      </c>
      <c r="S435" s="1335">
        <f t="shared" si="449"/>
        <v>735200</v>
      </c>
      <c r="T435" s="1620">
        <f t="shared" si="449"/>
        <v>684900</v>
      </c>
      <c r="U435" s="1313">
        <f t="shared" si="449"/>
        <v>0</v>
      </c>
      <c r="V435" s="1314">
        <f t="shared" si="449"/>
        <v>0</v>
      </c>
      <c r="W435" s="1335">
        <f t="shared" si="449"/>
        <v>684900</v>
      </c>
      <c r="X435" s="1598">
        <f t="shared" si="417"/>
        <v>124.57257184430701</v>
      </c>
      <c r="Y435" s="758">
        <f>'[1]PRIH REBALANS'!$AK$1047</f>
        <v>684900</v>
      </c>
      <c r="Z435" s="1135"/>
      <c r="AA435" s="1135">
        <f>'[9]PRIH REBALANS'!$AK$1047</f>
        <v>684900</v>
      </c>
      <c r="AB435" s="1293">
        <f t="shared" si="409"/>
        <v>0</v>
      </c>
      <c r="AC435" s="1293">
        <f t="shared" si="413"/>
        <v>0</v>
      </c>
      <c r="AD435" s="1293">
        <f t="shared" si="418"/>
        <v>135100</v>
      </c>
      <c r="AE435" s="1293">
        <f t="shared" si="412"/>
        <v>0</v>
      </c>
      <c r="AF435" s="1293"/>
      <c r="AG435" s="1293"/>
      <c r="AH435" s="1294">
        <f t="shared" si="414"/>
        <v>135100</v>
      </c>
      <c r="AI435" s="1294">
        <f>'[8]PRIH REBALANS'!$AK$1045</f>
        <v>717220</v>
      </c>
      <c r="AJ435" s="1293">
        <f t="shared" si="419"/>
        <v>0</v>
      </c>
      <c r="AK435" s="1294"/>
      <c r="AL435" s="1294"/>
      <c r="AM435" s="1294"/>
      <c r="AN435" s="1294"/>
      <c r="AO435" s="1294"/>
      <c r="AP435" s="1294"/>
      <c r="AQ435" s="1294">
        <f>SUM(AQ439,AQ442:AQ448,W465)</f>
        <v>684900</v>
      </c>
      <c r="AR435" s="1294">
        <f t="shared" si="433"/>
        <v>0</v>
      </c>
      <c r="AS435" s="1135">
        <f>AS439+AS442+AS446+AS448+AS465</f>
        <v>1073850</v>
      </c>
      <c r="AT435" s="668">
        <f t="shared" si="447"/>
        <v>78000</v>
      </c>
      <c r="AU435" s="668">
        <f>SUM(AU439,AU442,AU446,AU448,AU465)</f>
        <v>972600</v>
      </c>
      <c r="AV435" s="468">
        <f t="shared" si="448"/>
        <v>78000</v>
      </c>
      <c r="AW435" s="468">
        <f t="shared" si="446"/>
        <v>92000</v>
      </c>
      <c r="AX435" s="668"/>
      <c r="AY435" s="668"/>
      <c r="AZ435" s="668"/>
      <c r="BA435" s="668"/>
      <c r="BB435" s="668"/>
      <c r="BC435" s="437">
        <f>'[2]PRIH REBALANS'!$AK$1059</f>
        <v>549800</v>
      </c>
      <c r="BD435" s="437"/>
      <c r="BE435" t="e">
        <f t="shared" si="444"/>
        <v>#DIV/0!</v>
      </c>
      <c r="BF435" s="437" t="e">
        <f t="shared" si="445"/>
        <v>#DIV/0!</v>
      </c>
      <c r="BG435" s="457">
        <f>SUM(BG439:BG448,BG465)</f>
        <v>972600</v>
      </c>
    </row>
    <row r="436" spans="1:59" ht="39" customHeight="1">
      <c r="A436" s="1661"/>
      <c r="B436" s="1595"/>
      <c r="C436" s="1595"/>
      <c r="D436" s="1677"/>
      <c r="E436" s="1677" t="s">
        <v>319</v>
      </c>
      <c r="F436" s="1823"/>
      <c r="G436" s="1834" t="s">
        <v>268</v>
      </c>
      <c r="H436" s="1685">
        <v>10</v>
      </c>
      <c r="I436" s="1619"/>
      <c r="J436" s="1619"/>
      <c r="K436" s="1686">
        <v>10</v>
      </c>
      <c r="L436" s="1597"/>
      <c r="M436" s="1313"/>
      <c r="N436" s="1314"/>
      <c r="O436" s="1335"/>
      <c r="P436" s="1687"/>
      <c r="Q436" s="1313"/>
      <c r="R436" s="1314"/>
      <c r="S436" s="1335"/>
      <c r="T436" s="1688"/>
      <c r="U436" s="1313"/>
      <c r="V436" s="1495"/>
      <c r="W436" s="1485"/>
      <c r="X436" s="1598"/>
      <c r="Y436" s="758"/>
      <c r="Z436" s="1135"/>
      <c r="AA436" s="1135"/>
      <c r="AB436" s="1293">
        <f t="shared" si="409"/>
        <v>0</v>
      </c>
      <c r="AC436" s="1293">
        <f t="shared" si="413"/>
        <v>0</v>
      </c>
      <c r="AD436" s="1293">
        <f t="shared" si="418"/>
        <v>0</v>
      </c>
      <c r="AE436" s="1293">
        <f t="shared" si="412"/>
        <v>0</v>
      </c>
      <c r="AF436" s="1293"/>
      <c r="AG436" s="1293"/>
      <c r="AH436" s="1294">
        <f t="shared" si="414"/>
        <v>0</v>
      </c>
      <c r="AI436" s="1294">
        <f t="shared" ref="AI436:AI443" si="450">T436+U436+V436-W436</f>
        <v>0</v>
      </c>
      <c r="AJ436" s="1293">
        <f t="shared" si="419"/>
        <v>0</v>
      </c>
      <c r="AK436" s="1294"/>
      <c r="AL436" s="1294"/>
      <c r="AM436" s="1294"/>
      <c r="AN436" s="1294"/>
      <c r="AO436" s="1294"/>
      <c r="AP436" s="1294"/>
      <c r="AQ436" s="1293"/>
      <c r="AR436" s="1294">
        <f t="shared" si="433"/>
        <v>0</v>
      </c>
      <c r="AS436" s="1135"/>
      <c r="AT436" s="668">
        <f t="shared" si="447"/>
        <v>92000</v>
      </c>
      <c r="AU436" s="668"/>
      <c r="AV436" s="468">
        <f t="shared" si="448"/>
        <v>92000</v>
      </c>
      <c r="AW436" s="468">
        <f t="shared" si="446"/>
        <v>-14000</v>
      </c>
      <c r="AX436" s="668"/>
      <c r="AY436" s="668"/>
      <c r="AZ436" s="668"/>
      <c r="BA436" s="668"/>
      <c r="BB436" s="668"/>
      <c r="BC436" s="437">
        <f t="shared" ref="BC436:BC441" si="451">T440+U440+V440+-W441</f>
        <v>92000</v>
      </c>
      <c r="BD436" s="437"/>
      <c r="BE436">
        <f t="shared" si="444"/>
        <v>5.0381957075300114</v>
      </c>
      <c r="BF436" s="437">
        <f t="shared" si="445"/>
        <v>-97.525906856572547</v>
      </c>
    </row>
    <row r="437" spans="1:59" ht="39" customHeight="1">
      <c r="A437" s="1624"/>
      <c r="B437" s="1625"/>
      <c r="C437" s="1625"/>
      <c r="D437" s="1373">
        <v>111</v>
      </c>
      <c r="E437" s="1373" t="s">
        <v>206</v>
      </c>
      <c r="F437" s="1802"/>
      <c r="G437" s="1847" t="s">
        <v>675</v>
      </c>
      <c r="H437" s="1599">
        <f>SUM(H438,H446,H448,H465)</f>
        <v>487700</v>
      </c>
      <c r="I437" s="1385"/>
      <c r="J437" s="1385"/>
      <c r="K437" s="1689">
        <f>SUM(K438,K446,K448,K465)</f>
        <v>487700</v>
      </c>
      <c r="L437" s="1601">
        <f>SUM(L438,L446,L448,L465)</f>
        <v>549800</v>
      </c>
      <c r="M437" s="1305"/>
      <c r="N437" s="1306"/>
      <c r="O437" s="1336">
        <f>SUM(O438,O446,O448,O465)</f>
        <v>549800</v>
      </c>
      <c r="P437" s="1601">
        <f>SUM(P438,P446,P448,P465)</f>
        <v>757320</v>
      </c>
      <c r="Q437" s="1305"/>
      <c r="R437" s="1306"/>
      <c r="S437" s="1336">
        <f>SUM(S438,S446,S448,S465)</f>
        <v>735200</v>
      </c>
      <c r="T437" s="1601">
        <f>SUM(T438,T446,T448,T465)</f>
        <v>684900</v>
      </c>
      <c r="U437" s="1305"/>
      <c r="V437" s="1306"/>
      <c r="W437" s="1336">
        <f>SUM(W438,W446,W448,W465)</f>
        <v>684900</v>
      </c>
      <c r="X437" s="1578">
        <f t="shared" si="417"/>
        <v>124.57257184430701</v>
      </c>
      <c r="Y437" s="2457"/>
      <c r="Z437" s="1136"/>
      <c r="AA437" s="1136"/>
      <c r="AB437" s="1293">
        <f t="shared" si="409"/>
        <v>0</v>
      </c>
      <c r="AC437" s="1293">
        <f t="shared" si="413"/>
        <v>0</v>
      </c>
      <c r="AD437" s="1293">
        <f t="shared" si="418"/>
        <v>135100</v>
      </c>
      <c r="AE437" s="1293">
        <f t="shared" si="412"/>
        <v>0</v>
      </c>
      <c r="AF437" s="1294"/>
      <c r="AG437" s="1294"/>
      <c r="AH437" s="1294">
        <f t="shared" si="414"/>
        <v>135100</v>
      </c>
      <c r="AI437" s="1294">
        <f t="shared" si="450"/>
        <v>0</v>
      </c>
      <c r="AJ437" s="1293">
        <f t="shared" si="419"/>
        <v>0</v>
      </c>
      <c r="AK437" s="1294"/>
      <c r="AL437" s="1294"/>
      <c r="AM437" s="1294"/>
      <c r="AN437" s="1294"/>
      <c r="AO437" s="1294"/>
      <c r="AP437" s="1294"/>
      <c r="AQ437" s="1294"/>
      <c r="AR437" s="1294">
        <f t="shared" si="433"/>
        <v>0</v>
      </c>
      <c r="AS437" s="1136"/>
      <c r="AT437" s="668">
        <f t="shared" si="447"/>
        <v>50300</v>
      </c>
      <c r="AU437" s="463"/>
      <c r="AV437" s="468">
        <f t="shared" si="448"/>
        <v>50300</v>
      </c>
      <c r="AW437" s="468">
        <f t="shared" si="446"/>
        <v>-22600</v>
      </c>
      <c r="AX437" s="463"/>
      <c r="AY437" s="463"/>
      <c r="AZ437" s="463"/>
      <c r="BA437" s="463"/>
      <c r="BB437" s="463"/>
      <c r="BC437" s="437">
        <f t="shared" si="451"/>
        <v>50300</v>
      </c>
      <c r="BD437" s="437"/>
      <c r="BE437">
        <f t="shared" si="444"/>
        <v>0.91074681238615673</v>
      </c>
      <c r="BF437" s="437">
        <f t="shared" si="445"/>
        <v>-103.08925318761385</v>
      </c>
    </row>
    <row r="438" spans="1:59" ht="39" customHeight="1">
      <c r="A438" s="1624"/>
      <c r="B438" s="1625"/>
      <c r="C438" s="1625"/>
      <c r="D438" s="1373">
        <v>111</v>
      </c>
      <c r="E438" s="1373"/>
      <c r="F438" s="1802">
        <v>611000</v>
      </c>
      <c r="G438" s="1848" t="s">
        <v>718</v>
      </c>
      <c r="H438" s="1599">
        <f>SUM(H439,H442)</f>
        <v>263900</v>
      </c>
      <c r="I438" s="1599">
        <f>SUM(I439:I440)</f>
        <v>0</v>
      </c>
      <c r="J438" s="1599">
        <f>SUM(J439:J440)</f>
        <v>0</v>
      </c>
      <c r="K438" s="1689">
        <f>SUM(K439,K442)</f>
        <v>263900</v>
      </c>
      <c r="L438" s="1601">
        <f>SUM(L439,L442)</f>
        <v>274500</v>
      </c>
      <c r="M438" s="1321">
        <f>SUM(M439:M440)</f>
        <v>0</v>
      </c>
      <c r="N438" s="1322">
        <f>SUM(N439:N440)</f>
        <v>0</v>
      </c>
      <c r="O438" s="1336">
        <f>SUM(O440:O442)</f>
        <v>274500</v>
      </c>
      <c r="P438" s="1601">
        <f>SUM(P439,P442)</f>
        <v>293120</v>
      </c>
      <c r="Q438" s="1321">
        <f>SUM(Q439:Q440)</f>
        <v>0</v>
      </c>
      <c r="R438" s="1322">
        <f>SUM(R439:R440)</f>
        <v>0</v>
      </c>
      <c r="S438" s="1336">
        <f>SUM(S440:S442)</f>
        <v>291000</v>
      </c>
      <c r="T438" s="1601">
        <f>SUM(T439,T442)</f>
        <v>275700</v>
      </c>
      <c r="U438" s="1321">
        <f>SUM(U439:U440)</f>
        <v>0</v>
      </c>
      <c r="V438" s="1322">
        <f>SUM(V439:V440)</f>
        <v>0</v>
      </c>
      <c r="W438" s="1336">
        <f>SUM(W440:W442)</f>
        <v>275700</v>
      </c>
      <c r="X438" s="1578">
        <f t="shared" si="417"/>
        <v>100.43715846994536</v>
      </c>
      <c r="Y438" s="2457"/>
      <c r="Z438" s="1136"/>
      <c r="AA438" s="1136"/>
      <c r="AB438" s="1293">
        <f t="shared" si="409"/>
        <v>0</v>
      </c>
      <c r="AC438" s="1293">
        <f t="shared" si="413"/>
        <v>0</v>
      </c>
      <c r="AD438" s="1293">
        <f t="shared" si="418"/>
        <v>1200</v>
      </c>
      <c r="AE438" s="1293">
        <f t="shared" si="412"/>
        <v>0</v>
      </c>
      <c r="AF438" s="1294"/>
      <c r="AG438" s="1294"/>
      <c r="AH438" s="1294">
        <f t="shared" si="414"/>
        <v>1200</v>
      </c>
      <c r="AI438" s="1294">
        <f t="shared" si="450"/>
        <v>0</v>
      </c>
      <c r="AJ438" s="1293">
        <f t="shared" si="419"/>
        <v>0</v>
      </c>
      <c r="AK438" s="1293"/>
      <c r="AL438" s="1293"/>
      <c r="AM438" s="1293"/>
      <c r="AN438" s="1293"/>
      <c r="AO438" s="1293"/>
      <c r="AP438" s="1293"/>
      <c r="AQ438" s="1294"/>
      <c r="AR438" s="1294">
        <f t="shared" si="433"/>
        <v>0</v>
      </c>
      <c r="AS438" s="1136"/>
      <c r="AT438" s="668">
        <f t="shared" si="447"/>
        <v>25200</v>
      </c>
      <c r="AU438" s="463"/>
      <c r="AV438" s="468">
        <f t="shared" si="448"/>
        <v>25200</v>
      </c>
      <c r="AW438" s="468">
        <f t="shared" si="446"/>
        <v>-22700</v>
      </c>
      <c r="AX438" s="463"/>
      <c r="AY438" s="463"/>
      <c r="AZ438" s="463"/>
      <c r="BA438" s="463"/>
      <c r="BB438" s="463"/>
      <c r="BC438" s="437">
        <f t="shared" si="451"/>
        <v>25200</v>
      </c>
      <c r="BD438" s="437"/>
      <c r="BE438">
        <f t="shared" si="444"/>
        <v>8.0808080808080813</v>
      </c>
      <c r="BF438" s="437">
        <f t="shared" si="445"/>
        <v>-91.919191919191917</v>
      </c>
    </row>
    <row r="439" spans="1:59" ht="39" customHeight="1">
      <c r="A439" s="1624"/>
      <c r="B439" s="1625"/>
      <c r="C439" s="1625"/>
      <c r="D439" s="1373">
        <v>111</v>
      </c>
      <c r="E439" s="1383" t="s">
        <v>206</v>
      </c>
      <c r="F439" s="1802" t="s">
        <v>166</v>
      </c>
      <c r="G439" s="1848" t="s">
        <v>657</v>
      </c>
      <c r="H439" s="1635">
        <f>SUM(H440:H441)</f>
        <v>242000</v>
      </c>
      <c r="I439" s="1599"/>
      <c r="J439" s="1599"/>
      <c r="K439" s="1690">
        <f>SUM(K440:K441)</f>
        <v>242000</v>
      </c>
      <c r="L439" s="1601">
        <f>SUM(L440:L441)</f>
        <v>247500</v>
      </c>
      <c r="M439" s="1321"/>
      <c r="N439" s="1322"/>
      <c r="O439" s="1336">
        <f>SUM(L439:N439)</f>
        <v>247500</v>
      </c>
      <c r="P439" s="1601">
        <f>SUM(P440:P441)</f>
        <v>260000</v>
      </c>
      <c r="Q439" s="1321"/>
      <c r="R439" s="1322"/>
      <c r="S439" s="1336">
        <f>SUM(P439:R439)</f>
        <v>260000</v>
      </c>
      <c r="T439" s="1601">
        <f>SUM(T440:T441)</f>
        <v>248000</v>
      </c>
      <c r="U439" s="1321"/>
      <c r="V439" s="1322"/>
      <c r="W439" s="1336">
        <f>SUM(T439:V439)</f>
        <v>248000</v>
      </c>
      <c r="X439" s="1578">
        <f t="shared" si="417"/>
        <v>100.20202020202021</v>
      </c>
      <c r="Y439" s="2457">
        <f>'[1]PRIH REBALANS'!$AK$1051</f>
        <v>248000</v>
      </c>
      <c r="Z439" s="1136"/>
      <c r="AA439" s="1136"/>
      <c r="AB439" s="1293">
        <f t="shared" si="409"/>
        <v>0</v>
      </c>
      <c r="AC439" s="1293">
        <f t="shared" si="413"/>
        <v>0</v>
      </c>
      <c r="AD439" s="1293">
        <f t="shared" si="418"/>
        <v>500</v>
      </c>
      <c r="AE439" s="1293">
        <f t="shared" si="412"/>
        <v>0</v>
      </c>
      <c r="AF439" s="1294"/>
      <c r="AG439" s="1294"/>
      <c r="AH439" s="1294">
        <f t="shared" si="414"/>
        <v>500</v>
      </c>
      <c r="AI439" s="1294">
        <f t="shared" si="450"/>
        <v>0</v>
      </c>
      <c r="AJ439" s="1293">
        <f t="shared" si="419"/>
        <v>0</v>
      </c>
      <c r="AK439" s="1294"/>
      <c r="AL439" s="1294"/>
      <c r="AM439" s="1294"/>
      <c r="AN439" s="1294"/>
      <c r="AO439" s="1294"/>
      <c r="AP439" s="1294"/>
      <c r="AQ439" s="1294">
        <f>SUM(W440:W441)</f>
        <v>248000</v>
      </c>
      <c r="AR439" s="1294">
        <f t="shared" si="433"/>
        <v>0</v>
      </c>
      <c r="AS439" s="1136">
        <f>W445+W446</f>
        <v>31200</v>
      </c>
      <c r="AT439" s="668">
        <f t="shared" si="447"/>
        <v>-17500</v>
      </c>
      <c r="AU439" s="463">
        <f>SUM(W445:W446)</f>
        <v>31200</v>
      </c>
      <c r="AV439" s="468">
        <f t="shared" si="448"/>
        <v>-17500</v>
      </c>
      <c r="AW439" s="468">
        <f t="shared" si="446"/>
        <v>37500</v>
      </c>
      <c r="AX439" s="463"/>
      <c r="AY439" s="463"/>
      <c r="AZ439" s="463"/>
      <c r="BA439" s="463"/>
      <c r="BB439" s="463"/>
      <c r="BC439" s="437">
        <f t="shared" si="451"/>
        <v>-17500</v>
      </c>
      <c r="BD439" s="437"/>
      <c r="BE439">
        <f t="shared" si="444"/>
        <v>3.0409356725146197</v>
      </c>
      <c r="BF439" s="437">
        <f t="shared" si="445"/>
        <v>-96.959064327485379</v>
      </c>
      <c r="BG439" s="209">
        <f>SUM(W445:W446)</f>
        <v>31200</v>
      </c>
    </row>
    <row r="440" spans="1:59" ht="39" customHeight="1">
      <c r="A440" s="1624"/>
      <c r="B440" s="1625"/>
      <c r="C440" s="1625"/>
      <c r="D440" s="1373">
        <v>111</v>
      </c>
      <c r="E440" s="1383"/>
      <c r="F440" s="1805" t="s">
        <v>209</v>
      </c>
      <c r="G440" s="1845" t="s">
        <v>210</v>
      </c>
      <c r="H440" s="1385">
        <v>168000</v>
      </c>
      <c r="I440" s="1385"/>
      <c r="J440" s="1385"/>
      <c r="K440" s="1691">
        <v>168000</v>
      </c>
      <c r="L440" s="1623">
        <v>171000</v>
      </c>
      <c r="M440" s="1305"/>
      <c r="N440" s="1306"/>
      <c r="O440" s="1375">
        <f t="shared" ref="O440:O441" si="452">SUM(L440:N440)</f>
        <v>171000</v>
      </c>
      <c r="P440" s="1577">
        <v>179000</v>
      </c>
      <c r="Q440" s="1305"/>
      <c r="R440" s="1306"/>
      <c r="S440" s="1375">
        <f>SUM(P440:R440)</f>
        <v>179000</v>
      </c>
      <c r="T440" s="1577">
        <v>170000</v>
      </c>
      <c r="U440" s="1305"/>
      <c r="V440" s="1306"/>
      <c r="W440" s="1375">
        <f>SUM(T440:V440)</f>
        <v>170000</v>
      </c>
      <c r="X440" s="1578">
        <f t="shared" si="417"/>
        <v>99.415204678362571</v>
      </c>
      <c r="Y440" s="2457"/>
      <c r="Z440" s="1136"/>
      <c r="AA440" s="1136"/>
      <c r="AB440" s="1293">
        <f t="shared" si="409"/>
        <v>0</v>
      </c>
      <c r="AC440" s="1293">
        <f t="shared" si="413"/>
        <v>0</v>
      </c>
      <c r="AD440" s="1293">
        <f t="shared" si="418"/>
        <v>-1000</v>
      </c>
      <c r="AE440" s="1293">
        <f t="shared" si="412"/>
        <v>0</v>
      </c>
      <c r="AF440" s="1294"/>
      <c r="AG440" s="1294"/>
      <c r="AH440" s="1294">
        <f t="shared" si="414"/>
        <v>-1000</v>
      </c>
      <c r="AI440" s="1294">
        <f t="shared" si="450"/>
        <v>0</v>
      </c>
      <c r="AJ440" s="1293">
        <f t="shared" si="419"/>
        <v>0</v>
      </c>
      <c r="AK440" s="1294"/>
      <c r="AL440" s="1294"/>
      <c r="AM440" s="1294"/>
      <c r="AN440" s="1294"/>
      <c r="AO440" s="1294"/>
      <c r="AP440" s="1294"/>
      <c r="AQ440" s="1294"/>
      <c r="AR440" s="1294">
        <f t="shared" ref="AR440:AR471" si="453">T440+U440+V440-W440</f>
        <v>0</v>
      </c>
      <c r="AS440" s="1136"/>
      <c r="AT440" s="668">
        <f t="shared" si="447"/>
        <v>14800</v>
      </c>
      <c r="AU440" s="463"/>
      <c r="AV440" s="468">
        <f t="shared" si="448"/>
        <v>14800</v>
      </c>
      <c r="AW440" s="468">
        <f t="shared" si="446"/>
        <v>-9600</v>
      </c>
      <c r="AX440" s="272"/>
      <c r="AY440" s="272"/>
      <c r="AZ440" s="272"/>
      <c r="BA440" s="272"/>
      <c r="BB440" s="272"/>
      <c r="BC440" s="437">
        <f t="shared" si="451"/>
        <v>14800</v>
      </c>
      <c r="BD440" s="437"/>
      <c r="BE440">
        <f t="shared" si="444"/>
        <v>33.986928104575163</v>
      </c>
      <c r="BF440" s="437">
        <f t="shared" si="445"/>
        <v>-100.35609277139702</v>
      </c>
    </row>
    <row r="441" spans="1:59" ht="39" customHeight="1">
      <c r="A441" s="1624"/>
      <c r="B441" s="1625"/>
      <c r="C441" s="1625"/>
      <c r="D441" s="1373">
        <v>111</v>
      </c>
      <c r="E441" s="1383"/>
      <c r="F441" s="1805" t="s">
        <v>211</v>
      </c>
      <c r="G441" s="1849" t="s">
        <v>659</v>
      </c>
      <c r="H441" s="1385">
        <v>74000</v>
      </c>
      <c r="I441" s="1599"/>
      <c r="J441" s="1599"/>
      <c r="K441" s="1691">
        <v>74000</v>
      </c>
      <c r="L441" s="1623">
        <v>76500</v>
      </c>
      <c r="M441" s="1321"/>
      <c r="N441" s="1322"/>
      <c r="O441" s="1375">
        <f t="shared" si="452"/>
        <v>76500</v>
      </c>
      <c r="P441" s="1577">
        <v>81000</v>
      </c>
      <c r="Q441" s="1321"/>
      <c r="R441" s="1322"/>
      <c r="S441" s="1375">
        <f>SUM(P441:R441)</f>
        <v>81000</v>
      </c>
      <c r="T441" s="1577">
        <v>78000</v>
      </c>
      <c r="U441" s="1321"/>
      <c r="V441" s="1322"/>
      <c r="W441" s="1375">
        <f>SUM(T441:V441)</f>
        <v>78000</v>
      </c>
      <c r="X441" s="1578">
        <f t="shared" si="417"/>
        <v>101.96078431372548</v>
      </c>
      <c r="Y441" s="2457"/>
      <c r="Z441" s="1136"/>
      <c r="AA441" s="1136"/>
      <c r="AB441" s="1293">
        <f t="shared" si="409"/>
        <v>0</v>
      </c>
      <c r="AC441" s="1293">
        <f t="shared" si="413"/>
        <v>0</v>
      </c>
      <c r="AD441" s="1293">
        <f t="shared" si="418"/>
        <v>1500</v>
      </c>
      <c r="AE441" s="1293">
        <f t="shared" si="412"/>
        <v>0</v>
      </c>
      <c r="AF441" s="1294"/>
      <c r="AG441" s="1294"/>
      <c r="AH441" s="1294">
        <f t="shared" si="414"/>
        <v>1500</v>
      </c>
      <c r="AI441" s="1294">
        <f t="shared" si="450"/>
        <v>0</v>
      </c>
      <c r="AJ441" s="1293">
        <f t="shared" si="419"/>
        <v>0</v>
      </c>
      <c r="AK441" s="1294"/>
      <c r="AL441" s="1294"/>
      <c r="AM441" s="1294"/>
      <c r="AN441" s="1294"/>
      <c r="AO441" s="1294"/>
      <c r="AP441" s="1294"/>
      <c r="AQ441" s="1294"/>
      <c r="AR441" s="1294">
        <f t="shared" si="453"/>
        <v>0</v>
      </c>
      <c r="AS441" s="1136"/>
      <c r="AT441" s="668">
        <f t="shared" si="447"/>
        <v>-20800</v>
      </c>
      <c r="AU441" s="463"/>
      <c r="AV441" s="468">
        <f t="shared" si="448"/>
        <v>-20800</v>
      </c>
      <c r="AW441" s="468">
        <f t="shared" si="446"/>
        <v>46800</v>
      </c>
      <c r="AX441" s="272"/>
      <c r="AY441" s="272"/>
      <c r="AZ441" s="272"/>
      <c r="BA441" s="272"/>
      <c r="BB441" s="272"/>
      <c r="BC441" s="437">
        <f t="shared" si="451"/>
        <v>-20800</v>
      </c>
      <c r="BD441" s="437"/>
      <c r="BE441">
        <f t="shared" si="444"/>
        <v>96.296296296296291</v>
      </c>
      <c r="BF441" s="437">
        <f t="shared" si="445"/>
        <v>-203.7037037037037</v>
      </c>
    </row>
    <row r="442" spans="1:59" ht="39" customHeight="1">
      <c r="A442" s="1572"/>
      <c r="B442" s="1625"/>
      <c r="C442" s="1625"/>
      <c r="D442" s="1373">
        <v>111</v>
      </c>
      <c r="E442" s="1383"/>
      <c r="F442" s="1802">
        <v>611200</v>
      </c>
      <c r="G442" s="1848" t="s">
        <v>213</v>
      </c>
      <c r="H442" s="1380">
        <f t="shared" ref="H442:O442" si="454">SUM(H443:H445)</f>
        <v>21900</v>
      </c>
      <c r="I442" s="1380">
        <f t="shared" si="454"/>
        <v>0</v>
      </c>
      <c r="J442" s="1380">
        <f t="shared" si="454"/>
        <v>0</v>
      </c>
      <c r="K442" s="1381">
        <f t="shared" si="454"/>
        <v>21900</v>
      </c>
      <c r="L442" s="1601">
        <f t="shared" si="454"/>
        <v>27000</v>
      </c>
      <c r="M442" s="1303">
        <f t="shared" si="454"/>
        <v>0</v>
      </c>
      <c r="N442" s="1304">
        <f t="shared" si="454"/>
        <v>0</v>
      </c>
      <c r="O442" s="1336">
        <f t="shared" si="454"/>
        <v>27000</v>
      </c>
      <c r="P442" s="1601">
        <f t="shared" ref="P442" si="455">SUM(P443:P445)</f>
        <v>33120</v>
      </c>
      <c r="Q442" s="1303"/>
      <c r="R442" s="1304"/>
      <c r="S442" s="1336">
        <v>31000</v>
      </c>
      <c r="T442" s="1601">
        <f t="shared" ref="T442" si="456">SUM(T443:T445)</f>
        <v>27700</v>
      </c>
      <c r="U442" s="1303"/>
      <c r="V442" s="1304"/>
      <c r="W442" s="1316">
        <f>SUM(W443:W445)</f>
        <v>27700</v>
      </c>
      <c r="X442" s="1578">
        <f t="shared" si="417"/>
        <v>102.5925925925926</v>
      </c>
      <c r="Y442" s="2457">
        <f>'[1]PRIH REBALANS'!$AK$1054</f>
        <v>27700</v>
      </c>
      <c r="Z442" s="1136"/>
      <c r="AA442" s="1136"/>
      <c r="AB442" s="1293">
        <f t="shared" si="409"/>
        <v>0</v>
      </c>
      <c r="AC442" s="1293">
        <f t="shared" si="413"/>
        <v>0</v>
      </c>
      <c r="AD442" s="1293">
        <f t="shared" si="418"/>
        <v>700</v>
      </c>
      <c r="AE442" s="1293">
        <f t="shared" si="412"/>
        <v>0</v>
      </c>
      <c r="AF442" s="1294"/>
      <c r="AG442" s="1294"/>
      <c r="AH442" s="1294">
        <f t="shared" si="414"/>
        <v>700</v>
      </c>
      <c r="AI442" s="1294">
        <f t="shared" si="450"/>
        <v>0</v>
      </c>
      <c r="AJ442" s="1293">
        <f t="shared" si="419"/>
        <v>0</v>
      </c>
      <c r="AK442" s="1294"/>
      <c r="AL442" s="1294"/>
      <c r="AM442" s="1294"/>
      <c r="AN442" s="1294"/>
      <c r="AO442" s="1294"/>
      <c r="AP442" s="1294"/>
      <c r="AQ442" s="1294">
        <f>SUM(W443:W445)</f>
        <v>27700</v>
      </c>
      <c r="AR442" s="1294">
        <f t="shared" si="453"/>
        <v>0</v>
      </c>
      <c r="AS442" s="1136">
        <f>SUM(W448:W450)</f>
        <v>381200</v>
      </c>
      <c r="AT442" s="668">
        <f t="shared" si="447"/>
        <v>0</v>
      </c>
      <c r="AU442" s="463">
        <f>SUM(W448:W450)</f>
        <v>381200</v>
      </c>
      <c r="AV442" s="468">
        <f t="shared" si="448"/>
        <v>0</v>
      </c>
      <c r="AW442" s="468">
        <f t="shared" si="446"/>
        <v>26000</v>
      </c>
      <c r="AX442" s="463"/>
      <c r="AY442" s="463"/>
      <c r="AZ442" s="463"/>
      <c r="BA442" s="463"/>
      <c r="BB442" s="463"/>
      <c r="BC442" s="437">
        <f>'[2]PRIH REBALANS'!$AK$1066</f>
        <v>27000</v>
      </c>
      <c r="BD442" s="437"/>
      <c r="BE442">
        <f t="shared" si="444"/>
        <v>13128</v>
      </c>
      <c r="BF442" s="437">
        <f t="shared" si="445"/>
        <v>13031.846153846154</v>
      </c>
      <c r="BG442" s="209">
        <f>SUM(W448:W450)</f>
        <v>381200</v>
      </c>
    </row>
    <row r="443" spans="1:59" ht="39" customHeight="1">
      <c r="A443" s="1572"/>
      <c r="B443" s="1625"/>
      <c r="C443" s="1625"/>
      <c r="D443" s="1373">
        <v>111</v>
      </c>
      <c r="E443" s="1383" t="s">
        <v>206</v>
      </c>
      <c r="F443" s="1805">
        <v>611211</v>
      </c>
      <c r="G443" s="1849" t="s">
        <v>660</v>
      </c>
      <c r="H443" s="1385">
        <v>1100</v>
      </c>
      <c r="I443" s="1385"/>
      <c r="J443" s="1385"/>
      <c r="K443" s="1691">
        <v>1100</v>
      </c>
      <c r="L443" s="1577">
        <v>2500</v>
      </c>
      <c r="M443" s="1305"/>
      <c r="N443" s="1306"/>
      <c r="O443" s="1375">
        <f t="shared" ref="O443:O445" si="457">SUM(L443:N443)</f>
        <v>2500</v>
      </c>
      <c r="P443" s="1577">
        <v>5000</v>
      </c>
      <c r="Q443" s="1305"/>
      <c r="R443" s="1306"/>
      <c r="S443" s="1375">
        <f>SUM(P443:R443)</f>
        <v>5000</v>
      </c>
      <c r="T443" s="1577">
        <v>2500</v>
      </c>
      <c r="U443" s="1305"/>
      <c r="V443" s="1306"/>
      <c r="W443" s="1375">
        <f>SUM(T443:V443)</f>
        <v>2500</v>
      </c>
      <c r="X443" s="1578">
        <f t="shared" si="417"/>
        <v>100</v>
      </c>
      <c r="Y443" s="2457"/>
      <c r="Z443" s="1136"/>
      <c r="AA443" s="1136"/>
      <c r="AB443" s="1293">
        <f t="shared" si="409"/>
        <v>0</v>
      </c>
      <c r="AC443" s="1293">
        <f t="shared" si="413"/>
        <v>0</v>
      </c>
      <c r="AD443" s="1293">
        <f t="shared" si="418"/>
        <v>0</v>
      </c>
      <c r="AE443" s="1293">
        <f t="shared" si="412"/>
        <v>0</v>
      </c>
      <c r="AF443" s="1294"/>
      <c r="AG443" s="1294"/>
      <c r="AH443" s="1294">
        <f t="shared" si="414"/>
        <v>0</v>
      </c>
      <c r="AI443" s="1294">
        <f t="shared" si="450"/>
        <v>0</v>
      </c>
      <c r="AJ443" s="1293">
        <f t="shared" si="419"/>
        <v>0</v>
      </c>
      <c r="AK443" s="1294"/>
      <c r="AL443" s="1294"/>
      <c r="AM443" s="1294"/>
      <c r="AN443" s="1294"/>
      <c r="AO443" s="1294"/>
      <c r="AP443" s="1294"/>
      <c r="AQ443" s="1294"/>
      <c r="AR443" s="1294">
        <f t="shared" si="453"/>
        <v>0</v>
      </c>
      <c r="AS443" s="1136"/>
      <c r="AT443" s="668">
        <f t="shared" si="447"/>
        <v>-302200</v>
      </c>
      <c r="AU443" s="463"/>
      <c r="AV443" s="468">
        <f t="shared" si="448"/>
        <v>-302200</v>
      </c>
      <c r="AW443" s="468">
        <f t="shared" si="446"/>
        <v>630400</v>
      </c>
      <c r="AX443" s="463"/>
      <c r="AY443" s="463"/>
      <c r="AZ443" s="463"/>
      <c r="BA443" s="463"/>
      <c r="BB443" s="463"/>
      <c r="BC443" s="437">
        <f>T447+U447+V447+-W448</f>
        <v>-302200</v>
      </c>
      <c r="BD443" s="437"/>
      <c r="BE443">
        <f t="shared" si="444"/>
        <v>15.384615384615385</v>
      </c>
      <c r="BF443" s="437">
        <f t="shared" si="445"/>
        <v>-103.03643724696354</v>
      </c>
    </row>
    <row r="444" spans="1:59" ht="39" customHeight="1">
      <c r="A444" s="1572"/>
      <c r="B444" s="1573"/>
      <c r="C444" s="1573"/>
      <c r="D444" s="1373">
        <v>111</v>
      </c>
      <c r="E444" s="1383"/>
      <c r="F444" s="1806">
        <v>611221</v>
      </c>
      <c r="G444" s="1845" t="s">
        <v>661</v>
      </c>
      <c r="H444" s="1385">
        <v>16500</v>
      </c>
      <c r="I444" s="1385"/>
      <c r="J444" s="1385"/>
      <c r="K444" s="1691">
        <v>16500</v>
      </c>
      <c r="L444" s="1577">
        <v>19500</v>
      </c>
      <c r="M444" s="1305"/>
      <c r="N444" s="1306"/>
      <c r="O444" s="1375">
        <f t="shared" si="457"/>
        <v>19500</v>
      </c>
      <c r="P444" s="1577">
        <v>22000</v>
      </c>
      <c r="Q444" s="1305"/>
      <c r="R444" s="1306"/>
      <c r="S444" s="1375">
        <f>SUM(P444:R444)</f>
        <v>22000</v>
      </c>
      <c r="T444" s="1577">
        <v>20000</v>
      </c>
      <c r="U444" s="1305"/>
      <c r="V444" s="1306"/>
      <c r="W444" s="1375">
        <f t="shared" ref="W444:W445" si="458">SUM(T444:V444)</f>
        <v>20000</v>
      </c>
      <c r="X444" s="1578">
        <f t="shared" si="417"/>
        <v>102.56410256410255</v>
      </c>
      <c r="Y444" s="2457"/>
      <c r="Z444" s="1136"/>
      <c r="AA444" s="1136"/>
      <c r="AB444" s="1293">
        <f t="shared" si="409"/>
        <v>0</v>
      </c>
      <c r="AC444" s="1293">
        <f t="shared" si="413"/>
        <v>0</v>
      </c>
      <c r="AD444" s="1293">
        <f t="shared" si="418"/>
        <v>500</v>
      </c>
      <c r="AE444" s="1293">
        <f t="shared" si="412"/>
        <v>0</v>
      </c>
      <c r="AF444" s="1294"/>
      <c r="AG444" s="1294"/>
      <c r="AH444" s="1294">
        <f t="shared" si="414"/>
        <v>500</v>
      </c>
      <c r="AI444" s="1294">
        <f>'[8]PRIH REBALANS'!$AG$1055</f>
        <v>31900</v>
      </c>
      <c r="AJ444" s="1293">
        <f t="shared" si="419"/>
        <v>0</v>
      </c>
      <c r="AK444" s="1294"/>
      <c r="AL444" s="1294"/>
      <c r="AM444" s="1294"/>
      <c r="AN444" s="1294"/>
      <c r="AO444" s="1294"/>
      <c r="AP444" s="1294"/>
      <c r="AQ444" s="1294"/>
      <c r="AR444" s="1294">
        <f t="shared" si="453"/>
        <v>0</v>
      </c>
      <c r="AS444" s="1136"/>
      <c r="AT444" s="668">
        <f t="shared" si="447"/>
        <v>325200</v>
      </c>
      <c r="AU444" s="463"/>
      <c r="AV444" s="468">
        <f t="shared" si="448"/>
        <v>325200</v>
      </c>
      <c r="AW444" s="468">
        <f t="shared" si="446"/>
        <v>-322200</v>
      </c>
      <c r="AX444" s="272"/>
      <c r="AY444" s="272"/>
      <c r="AZ444" s="272"/>
      <c r="BA444" s="272"/>
      <c r="BB444" s="272"/>
      <c r="BC444" s="437">
        <f>T448+U448+V448+-W449</f>
        <v>325200</v>
      </c>
      <c r="BD444" s="437"/>
      <c r="BE444">
        <f t="shared" si="444"/>
        <v>1000</v>
      </c>
      <c r="BF444" s="437">
        <f t="shared" si="445"/>
        <v>866.66666666666674</v>
      </c>
    </row>
    <row r="445" spans="1:59" ht="39" customHeight="1">
      <c r="A445" s="1624"/>
      <c r="B445" s="1573"/>
      <c r="C445" s="1573"/>
      <c r="D445" s="1373">
        <v>111</v>
      </c>
      <c r="E445" s="1383"/>
      <c r="F445" s="1806">
        <v>611224</v>
      </c>
      <c r="G445" s="1845" t="s">
        <v>214</v>
      </c>
      <c r="H445" s="1385">
        <v>4300</v>
      </c>
      <c r="I445" s="1385"/>
      <c r="J445" s="1385"/>
      <c r="K445" s="1691">
        <v>4300</v>
      </c>
      <c r="L445" s="1577">
        <v>5000</v>
      </c>
      <c r="M445" s="1305"/>
      <c r="N445" s="1306"/>
      <c r="O445" s="1375">
        <f t="shared" si="457"/>
        <v>5000</v>
      </c>
      <c r="P445" s="1577">
        <v>6120</v>
      </c>
      <c r="Q445" s="1305"/>
      <c r="R445" s="1306"/>
      <c r="S445" s="1375">
        <f>SUM(P445:R445)</f>
        <v>6120</v>
      </c>
      <c r="T445" s="1577">
        <v>5200</v>
      </c>
      <c r="U445" s="1305"/>
      <c r="V445" s="1306"/>
      <c r="W445" s="1375">
        <f t="shared" si="458"/>
        <v>5200</v>
      </c>
      <c r="X445" s="1578">
        <f t="shared" si="417"/>
        <v>104</v>
      </c>
      <c r="Y445" s="2457"/>
      <c r="Z445" s="1136"/>
      <c r="AA445" s="1136"/>
      <c r="AB445" s="1293">
        <f t="shared" si="409"/>
        <v>0</v>
      </c>
      <c r="AC445" s="1293">
        <f t="shared" si="413"/>
        <v>0</v>
      </c>
      <c r="AD445" s="1293">
        <f t="shared" si="418"/>
        <v>200</v>
      </c>
      <c r="AE445" s="1293">
        <f t="shared" si="412"/>
        <v>0</v>
      </c>
      <c r="AF445" s="1294"/>
      <c r="AG445" s="1294"/>
      <c r="AH445" s="1294">
        <f t="shared" si="414"/>
        <v>200</v>
      </c>
      <c r="AI445" s="1294">
        <f>'[8]PRIH REBALANS'!$AG$1057</f>
        <v>6120</v>
      </c>
      <c r="AJ445" s="1293">
        <f t="shared" si="419"/>
        <v>0</v>
      </c>
      <c r="AK445" s="1294"/>
      <c r="AL445" s="1294"/>
      <c r="AM445" s="1294"/>
      <c r="AN445" s="1294"/>
      <c r="AO445" s="1294"/>
      <c r="AP445" s="1294"/>
      <c r="AQ445" s="1294"/>
      <c r="AR445" s="1294">
        <f t="shared" si="453"/>
        <v>0</v>
      </c>
      <c r="AS445" s="1136"/>
      <c r="AT445" s="668">
        <f t="shared" si="447"/>
        <v>-47000</v>
      </c>
      <c r="AU445" s="463"/>
      <c r="AV445" s="468">
        <f t="shared" si="448"/>
        <v>-47000</v>
      </c>
      <c r="AW445" s="468">
        <f t="shared" si="446"/>
        <v>97000</v>
      </c>
      <c r="AX445" s="272"/>
      <c r="AY445" s="272"/>
      <c r="AZ445" s="272"/>
      <c r="BA445" s="272"/>
      <c r="BB445" s="272"/>
      <c r="BC445" s="437">
        <f>T449+U449+V449+-W450</f>
        <v>-47000</v>
      </c>
      <c r="BD445" s="437"/>
      <c r="BE445">
        <f t="shared" si="444"/>
        <v>173.07692307692309</v>
      </c>
      <c r="BF445" s="437">
        <f t="shared" si="445"/>
        <v>-66.923076923076906</v>
      </c>
    </row>
    <row r="446" spans="1:59" ht="39" customHeight="1">
      <c r="A446" s="1572"/>
      <c r="B446" s="1573"/>
      <c r="C446" s="1573"/>
      <c r="D446" s="1373">
        <v>111</v>
      </c>
      <c r="E446" s="1383"/>
      <c r="F446" s="1802">
        <v>612000</v>
      </c>
      <c r="G446" s="1848" t="s">
        <v>216</v>
      </c>
      <c r="H446" s="1599">
        <f t="shared" ref="H446:K446" si="459">SUM(H447)</f>
        <v>25000</v>
      </c>
      <c r="I446" s="1599">
        <f t="shared" si="459"/>
        <v>0</v>
      </c>
      <c r="J446" s="1599">
        <f t="shared" si="459"/>
        <v>0</v>
      </c>
      <c r="K446" s="1689">
        <f t="shared" si="459"/>
        <v>25000</v>
      </c>
      <c r="L446" s="1601">
        <f>SUM(L447)</f>
        <v>26000</v>
      </c>
      <c r="M446" s="1321">
        <f>SUM(M447)</f>
        <v>0</v>
      </c>
      <c r="N446" s="1322">
        <f>SUM(N447)</f>
        <v>0</v>
      </c>
      <c r="O446" s="1336">
        <f>SUM(O447)</f>
        <v>26000</v>
      </c>
      <c r="P446" s="1601">
        <f>SUM(P447)</f>
        <v>26000</v>
      </c>
      <c r="Q446" s="1321"/>
      <c r="R446" s="1322"/>
      <c r="S446" s="1336">
        <f>SUM(P446)</f>
        <v>26000</v>
      </c>
      <c r="T446" s="1601">
        <f>SUM(T447)</f>
        <v>26000</v>
      </c>
      <c r="U446" s="1321"/>
      <c r="V446" s="1322"/>
      <c r="W446" s="1316">
        <f>SUM(W447)</f>
        <v>26000</v>
      </c>
      <c r="X446" s="1578">
        <f t="shared" si="417"/>
        <v>100</v>
      </c>
      <c r="Y446" s="2457">
        <f>'[1]PRIH REBALANS'!$AK$1060</f>
        <v>26000</v>
      </c>
      <c r="Z446" s="1136"/>
      <c r="AA446" s="1136"/>
      <c r="AB446" s="1293">
        <f t="shared" si="409"/>
        <v>0</v>
      </c>
      <c r="AC446" s="1293">
        <f t="shared" si="413"/>
        <v>0</v>
      </c>
      <c r="AD446" s="1293">
        <f t="shared" si="418"/>
        <v>0</v>
      </c>
      <c r="AE446" s="1293">
        <f t="shared" si="412"/>
        <v>0</v>
      </c>
      <c r="AF446" s="1294"/>
      <c r="AG446" s="1294"/>
      <c r="AH446" s="1294">
        <f t="shared" si="414"/>
        <v>0</v>
      </c>
      <c r="AI446" s="1294">
        <f t="shared" ref="AI446:AI477" si="460">T446+U446+V446-W446</f>
        <v>0</v>
      </c>
      <c r="AJ446" s="1293">
        <f t="shared" si="419"/>
        <v>0</v>
      </c>
      <c r="AK446" s="1294"/>
      <c r="AL446" s="1294"/>
      <c r="AM446" s="1294"/>
      <c r="AN446" s="1294"/>
      <c r="AO446" s="1294"/>
      <c r="AP446" s="1294"/>
      <c r="AQ446" s="1294">
        <f>SUM(W447)</f>
        <v>26000</v>
      </c>
      <c r="AR446" s="1294">
        <f t="shared" si="453"/>
        <v>0</v>
      </c>
      <c r="AS446" s="1136">
        <f>W452</f>
        <v>20000</v>
      </c>
      <c r="AT446" s="668">
        <f t="shared" si="447"/>
        <v>5000</v>
      </c>
      <c r="AU446" s="463">
        <f>W452</f>
        <v>20000</v>
      </c>
      <c r="AV446" s="468">
        <f t="shared" si="448"/>
        <v>5000</v>
      </c>
      <c r="AW446" s="468">
        <f t="shared" si="446"/>
        <v>40000</v>
      </c>
      <c r="AX446" s="463"/>
      <c r="AY446" s="463"/>
      <c r="AZ446" s="463"/>
      <c r="BA446" s="463"/>
      <c r="BB446" s="463"/>
      <c r="BC446" s="437">
        <f>'[2]PRIH REBALANS'!$AK$1072</f>
        <v>26000</v>
      </c>
      <c r="BD446" s="437"/>
      <c r="BE446">
        <f t="shared" si="444"/>
        <v>76.923076923076934</v>
      </c>
      <c r="BF446" s="437">
        <f t="shared" si="445"/>
        <v>-423.07692307692309</v>
      </c>
      <c r="BG446" s="209">
        <f>W452</f>
        <v>20000</v>
      </c>
    </row>
    <row r="447" spans="1:59" ht="39" customHeight="1">
      <c r="A447" s="1572"/>
      <c r="B447" s="1573"/>
      <c r="C447" s="1573"/>
      <c r="D447" s="1373">
        <v>111</v>
      </c>
      <c r="E447" s="1383" t="s">
        <v>206</v>
      </c>
      <c r="F447" s="1796">
        <v>612110</v>
      </c>
      <c r="G447" s="1838" t="s">
        <v>217</v>
      </c>
      <c r="H447" s="1575">
        <v>25000</v>
      </c>
      <c r="I447" s="1380"/>
      <c r="J447" s="1380"/>
      <c r="K447" s="1374">
        <v>25000</v>
      </c>
      <c r="L447" s="1577">
        <v>26000</v>
      </c>
      <c r="M447" s="1303"/>
      <c r="N447" s="1304"/>
      <c r="O447" s="1375">
        <f t="shared" ref="O447" si="461">SUM(L447:N447)</f>
        <v>26000</v>
      </c>
      <c r="P447" s="1577">
        <v>26000</v>
      </c>
      <c r="Q447" s="1303"/>
      <c r="R447" s="1304"/>
      <c r="S447" s="1375">
        <f>SUM(P447:R447)</f>
        <v>26000</v>
      </c>
      <c r="T447" s="1577">
        <v>26000</v>
      </c>
      <c r="U447" s="1303"/>
      <c r="V447" s="1304"/>
      <c r="W447" s="1375">
        <f>SUM(T447:V447)</f>
        <v>26000</v>
      </c>
      <c r="X447" s="1578">
        <f t="shared" si="417"/>
        <v>100</v>
      </c>
      <c r="Y447" s="2457"/>
      <c r="Z447" s="1136"/>
      <c r="AA447" s="1136"/>
      <c r="AB447" s="1293">
        <f t="shared" si="409"/>
        <v>0</v>
      </c>
      <c r="AC447" s="1293">
        <f t="shared" si="413"/>
        <v>0</v>
      </c>
      <c r="AD447" s="1293">
        <f t="shared" si="418"/>
        <v>0</v>
      </c>
      <c r="AE447" s="1293">
        <f t="shared" si="412"/>
        <v>0</v>
      </c>
      <c r="AF447" s="1294"/>
      <c r="AG447" s="1294"/>
      <c r="AH447" s="1294">
        <f t="shared" si="414"/>
        <v>0</v>
      </c>
      <c r="AI447" s="1294">
        <f t="shared" si="460"/>
        <v>0</v>
      </c>
      <c r="AJ447" s="1293">
        <f t="shared" si="419"/>
        <v>0</v>
      </c>
      <c r="AK447" s="1294"/>
      <c r="AL447" s="1294"/>
      <c r="AM447" s="1294"/>
      <c r="AN447" s="1294"/>
      <c r="AO447" s="1294"/>
      <c r="AP447" s="1294"/>
      <c r="AQ447" s="1294"/>
      <c r="AR447" s="1294">
        <f t="shared" si="453"/>
        <v>0</v>
      </c>
      <c r="AS447" s="1136"/>
      <c r="AT447" s="668">
        <f t="shared" si="447"/>
        <v>25000</v>
      </c>
      <c r="AU447" s="463"/>
      <c r="AV447" s="468">
        <f t="shared" si="448"/>
        <v>25000</v>
      </c>
      <c r="AW447" s="468">
        <f t="shared" si="446"/>
        <v>-5000</v>
      </c>
      <c r="AX447" s="272"/>
      <c r="AY447" s="272"/>
      <c r="AZ447" s="272"/>
      <c r="BA447" s="272"/>
      <c r="BB447" s="272"/>
      <c r="BC447" s="437">
        <f>T451+U451+V451+-W452</f>
        <v>25000</v>
      </c>
      <c r="BD447" s="437"/>
      <c r="BE447">
        <f t="shared" si="444"/>
        <v>4.9119934506753991</v>
      </c>
      <c r="BF447" s="437">
        <f t="shared" si="445"/>
        <v>-95.088006549324604</v>
      </c>
    </row>
    <row r="448" spans="1:59" ht="39" customHeight="1">
      <c r="A448" s="1624"/>
      <c r="B448" s="1625"/>
      <c r="C448" s="1625"/>
      <c r="D448" s="1373">
        <v>111</v>
      </c>
      <c r="E448" s="1383"/>
      <c r="F448" s="1795">
        <v>613000</v>
      </c>
      <c r="G448" s="1836" t="s">
        <v>169</v>
      </c>
      <c r="H448" s="1633">
        <f t="shared" ref="H448:O448" si="462">SUM(H449:H456)</f>
        <v>192800</v>
      </c>
      <c r="I448" s="1633">
        <f t="shared" si="462"/>
        <v>0</v>
      </c>
      <c r="J448" s="1633">
        <f t="shared" si="462"/>
        <v>0</v>
      </c>
      <c r="K448" s="1630">
        <f t="shared" si="462"/>
        <v>192800</v>
      </c>
      <c r="L448" s="1632">
        <f t="shared" si="462"/>
        <v>244300</v>
      </c>
      <c r="M448" s="1319">
        <f t="shared" si="462"/>
        <v>0</v>
      </c>
      <c r="N448" s="1320">
        <f t="shared" si="462"/>
        <v>0</v>
      </c>
      <c r="O448" s="1474">
        <f t="shared" si="462"/>
        <v>244300</v>
      </c>
      <c r="P448" s="1632">
        <f t="shared" ref="P448" si="463">SUM(P449:P456)</f>
        <v>358200</v>
      </c>
      <c r="Q448" s="1319"/>
      <c r="R448" s="1320"/>
      <c r="S448" s="1474">
        <f>SUM(S449:S456)</f>
        <v>358200</v>
      </c>
      <c r="T448" s="1632">
        <f t="shared" ref="T448" si="464">SUM(T449:T456)</f>
        <v>328200</v>
      </c>
      <c r="U448" s="1319"/>
      <c r="V448" s="1320"/>
      <c r="W448" s="1317">
        <f>SUM(W449:W456)</f>
        <v>328200</v>
      </c>
      <c r="X448" s="1578">
        <f t="shared" si="417"/>
        <v>134.34302087597217</v>
      </c>
      <c r="Y448" s="2457">
        <f>'[1]PRIH REBALANS'!$AK$1062</f>
        <v>328200</v>
      </c>
      <c r="Z448" s="1136"/>
      <c r="AA448" s="1136"/>
      <c r="AB448" s="1293">
        <f t="shared" si="409"/>
        <v>0</v>
      </c>
      <c r="AC448" s="1293">
        <f t="shared" si="413"/>
        <v>0</v>
      </c>
      <c r="AD448" s="1293">
        <f t="shared" si="418"/>
        <v>83900</v>
      </c>
      <c r="AE448" s="1293">
        <f t="shared" si="412"/>
        <v>0</v>
      </c>
      <c r="AF448" s="1294"/>
      <c r="AG448" s="1294"/>
      <c r="AH448" s="1294">
        <f t="shared" si="414"/>
        <v>83900</v>
      </c>
      <c r="AI448" s="1294">
        <f t="shared" si="460"/>
        <v>0</v>
      </c>
      <c r="AJ448" s="1293">
        <f t="shared" si="419"/>
        <v>0</v>
      </c>
      <c r="AK448" s="1294"/>
      <c r="AL448" s="1294"/>
      <c r="AM448" s="1294"/>
      <c r="AN448" s="1294"/>
      <c r="AO448" s="1294"/>
      <c r="AP448" s="1294"/>
      <c r="AQ448" s="1294">
        <f>SUM(W449:W456)</f>
        <v>328200</v>
      </c>
      <c r="AR448" s="1294">
        <f t="shared" si="453"/>
        <v>0</v>
      </c>
      <c r="AS448" s="1136">
        <f>SUM(W454:W461)</f>
        <v>315200</v>
      </c>
      <c r="AT448" s="668">
        <f t="shared" si="447"/>
        <v>8000</v>
      </c>
      <c r="AU448" s="463">
        <f>SUM(W454:W461)</f>
        <v>315200</v>
      </c>
      <c r="AV448" s="468">
        <f t="shared" si="448"/>
        <v>8000</v>
      </c>
      <c r="AW448" s="468">
        <f t="shared" si="446"/>
        <v>4000</v>
      </c>
      <c r="AX448" s="463"/>
      <c r="AY448" s="463"/>
      <c r="AZ448" s="463"/>
      <c r="BA448" s="463"/>
      <c r="BB448" s="463"/>
      <c r="BC448" s="437">
        <f>'[2]PRIH REBALANS'!$AK$1074</f>
        <v>244300</v>
      </c>
      <c r="BD448" s="437"/>
      <c r="BE448">
        <f t="shared" si="444"/>
        <v>1000</v>
      </c>
      <c r="BF448" s="437">
        <f t="shared" si="445"/>
        <v>843.83020730503449</v>
      </c>
      <c r="BG448" s="209">
        <f>SUM(W454:W461)</f>
        <v>315200</v>
      </c>
    </row>
    <row r="449" spans="1:59" ht="39" customHeight="1">
      <c r="A449" s="1624"/>
      <c r="B449" s="1573"/>
      <c r="C449" s="1573"/>
      <c r="D449" s="1373">
        <v>111</v>
      </c>
      <c r="E449" s="1373" t="s">
        <v>206</v>
      </c>
      <c r="F449" s="1796">
        <v>613100</v>
      </c>
      <c r="G449" s="1838" t="s">
        <v>170</v>
      </c>
      <c r="H449" s="1575">
        <v>1000</v>
      </c>
      <c r="I449" s="1380"/>
      <c r="J449" s="1380"/>
      <c r="K449" s="1374">
        <v>1000</v>
      </c>
      <c r="L449" s="1577">
        <v>1000</v>
      </c>
      <c r="M449" s="1303"/>
      <c r="N449" s="1304"/>
      <c r="O449" s="1375">
        <f t="shared" ref="O449:O455" si="465">SUM(L449:N449)</f>
        <v>1000</v>
      </c>
      <c r="P449" s="1577">
        <v>3000</v>
      </c>
      <c r="Q449" s="1303"/>
      <c r="R449" s="1304"/>
      <c r="S449" s="1375">
        <f t="shared" ref="S449:S455" si="466">SUM(P449:R449)</f>
        <v>3000</v>
      </c>
      <c r="T449" s="1577">
        <v>3000</v>
      </c>
      <c r="U449" s="1303"/>
      <c r="V449" s="1304"/>
      <c r="W449" s="1375">
        <f>SUM(T449:V449)</f>
        <v>3000</v>
      </c>
      <c r="X449" s="1578">
        <f t="shared" si="417"/>
        <v>300</v>
      </c>
      <c r="Y449" s="2457"/>
      <c r="Z449" s="1136"/>
      <c r="AA449" s="1136"/>
      <c r="AB449" s="1293">
        <f t="shared" si="409"/>
        <v>0</v>
      </c>
      <c r="AC449" s="1293">
        <f t="shared" si="413"/>
        <v>0</v>
      </c>
      <c r="AD449" s="1293">
        <f t="shared" si="418"/>
        <v>2000</v>
      </c>
      <c r="AE449" s="1293">
        <f t="shared" si="412"/>
        <v>0</v>
      </c>
      <c r="AF449" s="1294"/>
      <c r="AG449" s="1294"/>
      <c r="AH449" s="1294">
        <f t="shared" si="414"/>
        <v>2000</v>
      </c>
      <c r="AI449" s="1294">
        <f t="shared" si="460"/>
        <v>0</v>
      </c>
      <c r="AJ449" s="1293">
        <f t="shared" si="419"/>
        <v>0</v>
      </c>
      <c r="AK449" s="1294"/>
      <c r="AL449" s="1294"/>
      <c r="AM449" s="1294"/>
      <c r="AN449" s="1294"/>
      <c r="AO449" s="1294"/>
      <c r="AP449" s="1294"/>
      <c r="AQ449" s="1294"/>
      <c r="AR449" s="1294">
        <f t="shared" si="453"/>
        <v>0</v>
      </c>
      <c r="AS449" s="1136"/>
      <c r="AT449" s="668">
        <f t="shared" si="447"/>
        <v>2000</v>
      </c>
      <c r="AU449" s="463"/>
      <c r="AV449" s="468">
        <f t="shared" si="448"/>
        <v>2000</v>
      </c>
      <c r="AW449" s="468">
        <f t="shared" si="446"/>
        <v>8000</v>
      </c>
      <c r="AX449" s="48"/>
      <c r="AY449" s="48"/>
      <c r="AZ449" s="48"/>
      <c r="BA449" s="48"/>
      <c r="BB449" s="48"/>
      <c r="BC449" s="434">
        <v>500</v>
      </c>
      <c r="BD449" s="437"/>
      <c r="BE449">
        <f t="shared" si="444"/>
        <v>57.692307692307686</v>
      </c>
      <c r="BF449" s="437">
        <f t="shared" si="445"/>
        <v>-108.97435897435901</v>
      </c>
    </row>
    <row r="450" spans="1:59" ht="39" customHeight="1">
      <c r="A450" s="1624"/>
      <c r="B450" s="1573"/>
      <c r="C450" s="1573"/>
      <c r="D450" s="1373">
        <v>111</v>
      </c>
      <c r="E450" s="1378"/>
      <c r="F450" s="1796">
        <v>613200</v>
      </c>
      <c r="G450" s="1838" t="s">
        <v>171</v>
      </c>
      <c r="H450" s="1575">
        <v>50000</v>
      </c>
      <c r="I450" s="1575"/>
      <c r="J450" s="1575"/>
      <c r="K450" s="1374">
        <v>50000</v>
      </c>
      <c r="L450" s="1577">
        <v>52000</v>
      </c>
      <c r="M450" s="1301"/>
      <c r="N450" s="1302"/>
      <c r="O450" s="1375">
        <f t="shared" si="465"/>
        <v>52000</v>
      </c>
      <c r="P450" s="1577">
        <v>50000</v>
      </c>
      <c r="Q450" s="1301"/>
      <c r="R450" s="1302"/>
      <c r="S450" s="1375">
        <f t="shared" si="466"/>
        <v>50000</v>
      </c>
      <c r="T450" s="1577">
        <v>50000</v>
      </c>
      <c r="U450" s="1301"/>
      <c r="V450" s="1302"/>
      <c r="W450" s="1375">
        <f t="shared" ref="W450:W455" si="467">SUM(T450:V450)</f>
        <v>50000</v>
      </c>
      <c r="X450" s="1578">
        <f t="shared" si="417"/>
        <v>96.15384615384616</v>
      </c>
      <c r="Y450" s="2457"/>
      <c r="Z450" s="1136"/>
      <c r="AA450" s="1136"/>
      <c r="AB450" s="1293">
        <f t="shared" si="409"/>
        <v>0</v>
      </c>
      <c r="AC450" s="1293">
        <f t="shared" si="413"/>
        <v>0</v>
      </c>
      <c r="AD450" s="1293">
        <f t="shared" si="418"/>
        <v>-2000</v>
      </c>
      <c r="AE450" s="1293">
        <f t="shared" si="412"/>
        <v>0</v>
      </c>
      <c r="AF450" s="1294"/>
      <c r="AG450" s="1294"/>
      <c r="AH450" s="1294">
        <f t="shared" si="414"/>
        <v>-2000</v>
      </c>
      <c r="AI450" s="1294">
        <f t="shared" si="460"/>
        <v>0</v>
      </c>
      <c r="AJ450" s="1293">
        <f t="shared" si="419"/>
        <v>0</v>
      </c>
      <c r="AK450" s="1294"/>
      <c r="AL450" s="1294"/>
      <c r="AM450" s="1294"/>
      <c r="AN450" s="1294"/>
      <c r="AO450" s="1294"/>
      <c r="AP450" s="1294"/>
      <c r="AQ450" s="1294"/>
      <c r="AR450" s="1294">
        <f t="shared" si="453"/>
        <v>0</v>
      </c>
      <c r="AS450" s="1136"/>
      <c r="AT450" s="668">
        <f t="shared" si="447"/>
        <v>-20000</v>
      </c>
      <c r="AU450" s="463"/>
      <c r="AV450" s="468">
        <f t="shared" si="448"/>
        <v>-20000</v>
      </c>
      <c r="AW450" s="468">
        <f t="shared" si="446"/>
        <v>50000</v>
      </c>
      <c r="AX450" s="48"/>
      <c r="AY450" s="48"/>
      <c r="AZ450" s="48"/>
      <c r="BA450" s="48"/>
      <c r="BB450" s="48"/>
      <c r="BC450" s="434">
        <v>52000</v>
      </c>
      <c r="BD450" s="437"/>
      <c r="BE450">
        <f t="shared" si="444"/>
        <v>416.31578947368422</v>
      </c>
      <c r="BF450" s="437">
        <f t="shared" si="445"/>
        <v>316.31578947368422</v>
      </c>
    </row>
    <row r="451" spans="1:59" ht="39" customHeight="1">
      <c r="A451" s="1624"/>
      <c r="B451" s="1625"/>
      <c r="C451" s="1625"/>
      <c r="D451" s="1373">
        <v>111</v>
      </c>
      <c r="E451" s="1574"/>
      <c r="F451" s="1797">
        <v>613300</v>
      </c>
      <c r="G451" s="1837" t="s">
        <v>262</v>
      </c>
      <c r="H451" s="1575">
        <v>30000</v>
      </c>
      <c r="I451" s="1575"/>
      <c r="J451" s="1575"/>
      <c r="K451" s="1374">
        <v>30000</v>
      </c>
      <c r="L451" s="1577">
        <v>38000</v>
      </c>
      <c r="M451" s="1301"/>
      <c r="N451" s="1302"/>
      <c r="O451" s="1375">
        <f t="shared" si="465"/>
        <v>38000</v>
      </c>
      <c r="P451" s="1577">
        <v>45000</v>
      </c>
      <c r="Q451" s="1301"/>
      <c r="R451" s="1302"/>
      <c r="S451" s="1375">
        <f t="shared" si="466"/>
        <v>45000</v>
      </c>
      <c r="T451" s="1577">
        <v>45000</v>
      </c>
      <c r="U451" s="1301"/>
      <c r="V451" s="1302"/>
      <c r="W451" s="1375">
        <f t="shared" si="467"/>
        <v>45000</v>
      </c>
      <c r="X451" s="1578">
        <f t="shared" si="417"/>
        <v>118.42105263157893</v>
      </c>
      <c r="Y451" s="2457"/>
      <c r="Z451" s="1136"/>
      <c r="AA451" s="1136"/>
      <c r="AB451" s="1293">
        <f t="shared" si="409"/>
        <v>0</v>
      </c>
      <c r="AC451" s="1293">
        <f t="shared" si="413"/>
        <v>0</v>
      </c>
      <c r="AD451" s="1293">
        <f t="shared" si="418"/>
        <v>7000</v>
      </c>
      <c r="AE451" s="1293">
        <f t="shared" si="412"/>
        <v>0</v>
      </c>
      <c r="AF451" s="1294"/>
      <c r="AG451" s="1294"/>
      <c r="AH451" s="1294">
        <f t="shared" si="414"/>
        <v>7000</v>
      </c>
      <c r="AI451" s="1294">
        <f t="shared" si="460"/>
        <v>0</v>
      </c>
      <c r="AJ451" s="1293">
        <f t="shared" si="419"/>
        <v>0</v>
      </c>
      <c r="AK451" s="1294"/>
      <c r="AL451" s="1294"/>
      <c r="AM451" s="1294"/>
      <c r="AN451" s="1294"/>
      <c r="AO451" s="1294"/>
      <c r="AP451" s="1294"/>
      <c r="AQ451" s="1294"/>
      <c r="AR451" s="1294">
        <f t="shared" si="453"/>
        <v>0</v>
      </c>
      <c r="AS451" s="1136"/>
      <c r="AT451" s="668">
        <f t="shared" si="447"/>
        <v>-128200</v>
      </c>
      <c r="AU451" s="463"/>
      <c r="AV451" s="468">
        <f t="shared" si="448"/>
        <v>-128200</v>
      </c>
      <c r="AW451" s="468">
        <f t="shared" si="446"/>
        <v>286400</v>
      </c>
      <c r="AX451" s="48"/>
      <c r="AY451" s="48"/>
      <c r="AZ451" s="48"/>
      <c r="BA451" s="48"/>
      <c r="BB451" s="48"/>
      <c r="BC451" s="434">
        <v>38000</v>
      </c>
      <c r="BD451" s="437"/>
      <c r="BE451">
        <f t="shared" si="444"/>
        <v>33.333333333333329</v>
      </c>
      <c r="BF451" s="437">
        <f t="shared" si="445"/>
        <v>-216.66666666666669</v>
      </c>
    </row>
    <row r="452" spans="1:59" ht="39" customHeight="1">
      <c r="A452" s="1624"/>
      <c r="B452" s="1625"/>
      <c r="C452" s="1625"/>
      <c r="D452" s="1373">
        <v>111</v>
      </c>
      <c r="E452" s="1574"/>
      <c r="F452" s="1806">
        <v>613400</v>
      </c>
      <c r="G452" s="1845" t="s">
        <v>246</v>
      </c>
      <c r="H452" s="1575">
        <v>15000</v>
      </c>
      <c r="I452" s="1575"/>
      <c r="J452" s="1575"/>
      <c r="K452" s="1374">
        <v>15000</v>
      </c>
      <c r="L452" s="1577">
        <v>15000</v>
      </c>
      <c r="M452" s="1301"/>
      <c r="N452" s="1302"/>
      <c r="O452" s="1375">
        <f t="shared" si="465"/>
        <v>15000</v>
      </c>
      <c r="P452" s="1577">
        <v>20000</v>
      </c>
      <c r="Q452" s="1301"/>
      <c r="R452" s="1302"/>
      <c r="S452" s="1375">
        <f t="shared" si="466"/>
        <v>20000</v>
      </c>
      <c r="T452" s="1577">
        <v>20000</v>
      </c>
      <c r="U452" s="1301"/>
      <c r="V452" s="1302"/>
      <c r="W452" s="1375">
        <f t="shared" si="467"/>
        <v>20000</v>
      </c>
      <c r="X452" s="1578">
        <f t="shared" si="417"/>
        <v>133.33333333333331</v>
      </c>
      <c r="Y452" s="2457"/>
      <c r="Z452" s="1136"/>
      <c r="AA452" s="1136"/>
      <c r="AB452" s="1293">
        <f t="shared" ref="AB452:AB515" si="468">T452+U452+V452-W452</f>
        <v>0</v>
      </c>
      <c r="AC452" s="1293">
        <f t="shared" si="413"/>
        <v>0</v>
      </c>
      <c r="AD452" s="1293">
        <f t="shared" si="418"/>
        <v>5000</v>
      </c>
      <c r="AE452" s="1293">
        <f t="shared" si="412"/>
        <v>0</v>
      </c>
      <c r="AF452" s="1294"/>
      <c r="AG452" s="1294"/>
      <c r="AH452" s="1294">
        <f t="shared" si="414"/>
        <v>5000</v>
      </c>
      <c r="AI452" s="1294">
        <f t="shared" si="460"/>
        <v>0</v>
      </c>
      <c r="AJ452" s="1293">
        <f t="shared" si="419"/>
        <v>0</v>
      </c>
      <c r="AK452" s="1294"/>
      <c r="AL452" s="1294"/>
      <c r="AM452" s="1294"/>
      <c r="AN452" s="1294"/>
      <c r="AO452" s="1294"/>
      <c r="AP452" s="1294"/>
      <c r="AQ452" s="1294"/>
      <c r="AR452" s="1294">
        <f t="shared" si="453"/>
        <v>0</v>
      </c>
      <c r="AS452" s="1136"/>
      <c r="AT452" s="668">
        <f t="shared" si="447"/>
        <v>153200</v>
      </c>
      <c r="AU452" s="463"/>
      <c r="AV452" s="468">
        <f t="shared" si="448"/>
        <v>153200</v>
      </c>
      <c r="AW452" s="468">
        <f t="shared" si="446"/>
        <v>-148200</v>
      </c>
      <c r="AX452" s="48"/>
      <c r="AY452" s="48"/>
      <c r="AZ452" s="48"/>
      <c r="BA452" s="48"/>
      <c r="BB452" s="48"/>
      <c r="BC452" s="434">
        <v>15000</v>
      </c>
      <c r="BD452" s="437"/>
      <c r="BE452">
        <f t="shared" si="444"/>
        <v>1600</v>
      </c>
      <c r="BF452" s="437">
        <f t="shared" si="445"/>
        <v>933.33333333333326</v>
      </c>
    </row>
    <row r="453" spans="1:59" ht="39" customHeight="1">
      <c r="A453" s="1624"/>
      <c r="B453" s="1625"/>
      <c r="C453" s="1625"/>
      <c r="D453" s="1373">
        <v>111</v>
      </c>
      <c r="E453" s="1574"/>
      <c r="F453" s="1797">
        <v>613500</v>
      </c>
      <c r="G453" s="1837" t="s">
        <v>559</v>
      </c>
      <c r="H453" s="1575">
        <v>5000</v>
      </c>
      <c r="I453" s="1575"/>
      <c r="J453" s="1575"/>
      <c r="K453" s="1374">
        <v>5000</v>
      </c>
      <c r="L453" s="1577">
        <v>5000</v>
      </c>
      <c r="M453" s="1301"/>
      <c r="N453" s="1302"/>
      <c r="O453" s="1375">
        <f t="shared" si="465"/>
        <v>5000</v>
      </c>
      <c r="P453" s="1577">
        <v>12000</v>
      </c>
      <c r="Q453" s="1301"/>
      <c r="R453" s="1302"/>
      <c r="S453" s="1375">
        <f t="shared" si="466"/>
        <v>12000</v>
      </c>
      <c r="T453" s="1577">
        <v>12000</v>
      </c>
      <c r="U453" s="1301"/>
      <c r="V453" s="1302"/>
      <c r="W453" s="1375">
        <f t="shared" si="467"/>
        <v>12000</v>
      </c>
      <c r="X453" s="1578">
        <f t="shared" si="417"/>
        <v>240</v>
      </c>
      <c r="Y453" s="2457"/>
      <c r="Z453" s="1136"/>
      <c r="AA453" s="1136"/>
      <c r="AB453" s="1293">
        <f t="shared" si="468"/>
        <v>0</v>
      </c>
      <c r="AC453" s="1293">
        <f t="shared" si="413"/>
        <v>0</v>
      </c>
      <c r="AD453" s="1293">
        <f t="shared" si="418"/>
        <v>7000</v>
      </c>
      <c r="AE453" s="1293">
        <f t="shared" ref="AE453:AE516" si="469">T453+U453+V453-W453</f>
        <v>0</v>
      </c>
      <c r="AF453" s="1294"/>
      <c r="AG453" s="1294"/>
      <c r="AH453" s="1294">
        <f t="shared" si="414"/>
        <v>7000</v>
      </c>
      <c r="AI453" s="1294">
        <f t="shared" si="460"/>
        <v>0</v>
      </c>
      <c r="AJ453" s="1293">
        <f t="shared" si="419"/>
        <v>0</v>
      </c>
      <c r="AK453" s="1294"/>
      <c r="AL453" s="1294"/>
      <c r="AM453" s="1294"/>
      <c r="AN453" s="1294"/>
      <c r="AO453" s="1294"/>
      <c r="AP453" s="1294"/>
      <c r="AQ453" s="1294"/>
      <c r="AR453" s="1294">
        <f t="shared" si="453"/>
        <v>0</v>
      </c>
      <c r="AS453" s="1136"/>
      <c r="AT453" s="668">
        <f t="shared" si="447"/>
        <v>-75000</v>
      </c>
      <c r="AU453" s="463"/>
      <c r="AV453" s="468">
        <f t="shared" si="448"/>
        <v>-75000</v>
      </c>
      <c r="AW453" s="468">
        <f t="shared" si="446"/>
        <v>155000</v>
      </c>
      <c r="AX453" s="48"/>
      <c r="AY453" s="48"/>
      <c r="AZ453" s="48"/>
      <c r="BA453" s="48"/>
      <c r="BB453" s="48"/>
      <c r="BC453" s="434">
        <v>5000</v>
      </c>
      <c r="BD453" s="437"/>
      <c r="BE453">
        <f t="shared" si="444"/>
        <v>500</v>
      </c>
      <c r="BF453" s="437">
        <f t="shared" si="445"/>
        <v>400</v>
      </c>
    </row>
    <row r="454" spans="1:59" ht="39" customHeight="1">
      <c r="A454" s="1624"/>
      <c r="B454" s="1625"/>
      <c r="C454" s="1625"/>
      <c r="D454" s="1373">
        <v>111</v>
      </c>
      <c r="E454" s="1384"/>
      <c r="F454" s="1806" t="s">
        <v>560</v>
      </c>
      <c r="G454" s="1845" t="s">
        <v>561</v>
      </c>
      <c r="H454" s="1575">
        <v>2000</v>
      </c>
      <c r="I454" s="1575"/>
      <c r="J454" s="1575"/>
      <c r="K454" s="1374">
        <v>2000</v>
      </c>
      <c r="L454" s="1577">
        <v>2000</v>
      </c>
      <c r="M454" s="1301"/>
      <c r="N454" s="1302"/>
      <c r="O454" s="1375">
        <f t="shared" si="465"/>
        <v>2000</v>
      </c>
      <c r="P454" s="1577">
        <v>10000</v>
      </c>
      <c r="Q454" s="1301"/>
      <c r="R454" s="1302"/>
      <c r="S454" s="1375">
        <f t="shared" si="466"/>
        <v>10000</v>
      </c>
      <c r="T454" s="1577">
        <v>10000</v>
      </c>
      <c r="U454" s="1301"/>
      <c r="V454" s="1302"/>
      <c r="W454" s="1375">
        <f t="shared" si="467"/>
        <v>10000</v>
      </c>
      <c r="X454" s="1578">
        <f t="shared" si="417"/>
        <v>500</v>
      </c>
      <c r="Y454" s="2457"/>
      <c r="Z454" s="1136"/>
      <c r="AA454" s="1136"/>
      <c r="AB454" s="1293">
        <f t="shared" si="468"/>
        <v>0</v>
      </c>
      <c r="AC454" s="1293">
        <f t="shared" ref="AC454:AC517" si="470">T454+U454+V454-W454</f>
        <v>0</v>
      </c>
      <c r="AD454" s="1293">
        <f t="shared" si="418"/>
        <v>8000</v>
      </c>
      <c r="AE454" s="1293">
        <f t="shared" si="469"/>
        <v>0</v>
      </c>
      <c r="AF454" s="1294"/>
      <c r="AG454" s="1294"/>
      <c r="AH454" s="1294">
        <f t="shared" ref="AH454:AH517" si="471">T454-L454</f>
        <v>8000</v>
      </c>
      <c r="AI454" s="1294">
        <f t="shared" si="460"/>
        <v>0</v>
      </c>
      <c r="AJ454" s="1293">
        <f t="shared" si="419"/>
        <v>0</v>
      </c>
      <c r="AK454" s="1294"/>
      <c r="AL454" s="1294"/>
      <c r="AM454" s="1294"/>
      <c r="AN454" s="1294"/>
      <c r="AO454" s="1294"/>
      <c r="AP454" s="1294"/>
      <c r="AQ454" s="1294"/>
      <c r="AR454" s="1294">
        <f t="shared" si="453"/>
        <v>0</v>
      </c>
      <c r="AS454" s="1136"/>
      <c r="AT454" s="668">
        <f t="shared" si="447"/>
        <v>70000</v>
      </c>
      <c r="AU454" s="463"/>
      <c r="AV454" s="468">
        <f t="shared" si="448"/>
        <v>70000</v>
      </c>
      <c r="AW454" s="468">
        <f t="shared" si="446"/>
        <v>-60000</v>
      </c>
      <c r="AX454" s="48"/>
      <c r="AY454" s="48"/>
      <c r="AZ454" s="48"/>
      <c r="BA454" s="48"/>
      <c r="BB454" s="48"/>
      <c r="BC454" s="434">
        <v>2000</v>
      </c>
      <c r="BD454" s="437"/>
      <c r="BE454">
        <f t="shared" si="444"/>
        <v>66.666666666666657</v>
      </c>
      <c r="BF454" s="437">
        <f t="shared" si="445"/>
        <v>-83.333333333333343</v>
      </c>
    </row>
    <row r="455" spans="1:59" ht="39" customHeight="1">
      <c r="A455" s="1624"/>
      <c r="B455" s="1625"/>
      <c r="C455" s="1625"/>
      <c r="D455" s="1373">
        <v>111</v>
      </c>
      <c r="E455" s="1574"/>
      <c r="F455" s="1806">
        <v>613700</v>
      </c>
      <c r="G455" s="1845" t="s">
        <v>739</v>
      </c>
      <c r="H455" s="1575">
        <v>30000</v>
      </c>
      <c r="I455" s="1575"/>
      <c r="J455" s="1575"/>
      <c r="K455" s="1374">
        <v>30000</v>
      </c>
      <c r="L455" s="1577">
        <v>30000</v>
      </c>
      <c r="M455" s="1301"/>
      <c r="N455" s="1302"/>
      <c r="O455" s="1375">
        <f t="shared" si="465"/>
        <v>30000</v>
      </c>
      <c r="P455" s="1577">
        <v>50000</v>
      </c>
      <c r="Q455" s="1301"/>
      <c r="R455" s="1302"/>
      <c r="S455" s="1375">
        <f t="shared" si="466"/>
        <v>50000</v>
      </c>
      <c r="T455" s="1577">
        <v>30000</v>
      </c>
      <c r="U455" s="1301"/>
      <c r="V455" s="1302"/>
      <c r="W455" s="1375">
        <f t="shared" si="467"/>
        <v>30000</v>
      </c>
      <c r="X455" s="1578">
        <f t="shared" si="417"/>
        <v>100</v>
      </c>
      <c r="Y455" s="2457"/>
      <c r="Z455" s="1136"/>
      <c r="AA455" s="1136"/>
      <c r="AB455" s="1293">
        <f t="shared" si="468"/>
        <v>0</v>
      </c>
      <c r="AC455" s="1293">
        <f t="shared" si="470"/>
        <v>0</v>
      </c>
      <c r="AD455" s="1293">
        <f t="shared" si="418"/>
        <v>0</v>
      </c>
      <c r="AE455" s="1293">
        <f t="shared" si="469"/>
        <v>0</v>
      </c>
      <c r="AF455" s="1294"/>
      <c r="AG455" s="1294"/>
      <c r="AH455" s="1294">
        <f t="shared" si="471"/>
        <v>0</v>
      </c>
      <c r="AI455" s="1294">
        <f t="shared" si="460"/>
        <v>0</v>
      </c>
      <c r="AJ455" s="1293">
        <f t="shared" si="419"/>
        <v>0</v>
      </c>
      <c r="AK455" s="1294"/>
      <c r="AL455" s="1294"/>
      <c r="AM455" s="1294"/>
      <c r="AN455" s="1294"/>
      <c r="AO455" s="1294"/>
      <c r="AP455" s="1294"/>
      <c r="AQ455" s="1294"/>
      <c r="AR455" s="1294">
        <f t="shared" si="453"/>
        <v>0</v>
      </c>
      <c r="AS455" s="1136"/>
      <c r="AT455" s="668">
        <f t="shared" si="447"/>
        <v>-10000</v>
      </c>
      <c r="AU455" s="463"/>
      <c r="AV455" s="468">
        <f t="shared" si="448"/>
        <v>-10000</v>
      </c>
      <c r="AW455" s="468">
        <f t="shared" si="446"/>
        <v>30000</v>
      </c>
      <c r="AX455" s="48"/>
      <c r="AY455" s="48"/>
      <c r="AZ455" s="48"/>
      <c r="BA455" s="48"/>
      <c r="BB455" s="48"/>
      <c r="BC455" s="434">
        <v>30000</v>
      </c>
      <c r="BD455" s="437"/>
      <c r="BE455">
        <f t="shared" si="444"/>
        <v>1.9743336623889436</v>
      </c>
      <c r="BF455" s="437">
        <f t="shared" si="445"/>
        <v>-748.02566633761103</v>
      </c>
    </row>
    <row r="456" spans="1:59" ht="39" customHeight="1">
      <c r="A456" s="1624"/>
      <c r="B456" s="1625"/>
      <c r="C456" s="1625"/>
      <c r="D456" s="1373">
        <v>111</v>
      </c>
      <c r="E456" s="1574"/>
      <c r="F456" s="1807">
        <v>613900</v>
      </c>
      <c r="G456" s="1844" t="s">
        <v>180</v>
      </c>
      <c r="H456" s="1633">
        <f t="shared" ref="H456:O456" si="472">SUM(H457:H464)</f>
        <v>59800</v>
      </c>
      <c r="I456" s="1633">
        <f t="shared" si="472"/>
        <v>0</v>
      </c>
      <c r="J456" s="1633">
        <f t="shared" si="472"/>
        <v>0</v>
      </c>
      <c r="K456" s="1630">
        <f t="shared" si="472"/>
        <v>59800</v>
      </c>
      <c r="L456" s="1632">
        <f t="shared" si="472"/>
        <v>101300</v>
      </c>
      <c r="M456" s="1319">
        <f t="shared" si="472"/>
        <v>0</v>
      </c>
      <c r="N456" s="1320">
        <f t="shared" si="472"/>
        <v>0</v>
      </c>
      <c r="O456" s="1474">
        <f t="shared" si="472"/>
        <v>101300</v>
      </c>
      <c r="P456" s="1632">
        <f t="shared" ref="P456" si="473">SUM(P457:P464)</f>
        <v>168200</v>
      </c>
      <c r="Q456" s="1319"/>
      <c r="R456" s="1320"/>
      <c r="S456" s="1474">
        <f>SUM(S457:S464)</f>
        <v>168200</v>
      </c>
      <c r="T456" s="1632">
        <f t="shared" ref="T456" si="474">SUM(T457:T464)</f>
        <v>158200</v>
      </c>
      <c r="U456" s="1319"/>
      <c r="V456" s="1320"/>
      <c r="W456" s="1317">
        <f>SUM(W457:W464)</f>
        <v>158200</v>
      </c>
      <c r="X456" s="1578">
        <f t="shared" ref="X456:X519" si="475">W456/O456*100</f>
        <v>156.16979269496545</v>
      </c>
      <c r="Y456" s="2457">
        <f>'[1]PRIH REBALANS'!$AK$1070</f>
        <v>158200</v>
      </c>
      <c r="Z456" s="1136"/>
      <c r="AA456" s="1136"/>
      <c r="AB456" s="1293">
        <f t="shared" si="468"/>
        <v>0</v>
      </c>
      <c r="AC456" s="1293">
        <f t="shared" si="470"/>
        <v>0</v>
      </c>
      <c r="AD456" s="1293">
        <f t="shared" ref="AD456:AD519" si="476">W456-O456</f>
        <v>56900</v>
      </c>
      <c r="AE456" s="1293">
        <f t="shared" si="469"/>
        <v>0</v>
      </c>
      <c r="AF456" s="1294"/>
      <c r="AG456" s="1294"/>
      <c r="AH456" s="1294">
        <f t="shared" si="471"/>
        <v>56900</v>
      </c>
      <c r="AI456" s="1294">
        <f t="shared" si="460"/>
        <v>0</v>
      </c>
      <c r="AJ456" s="1293">
        <f t="shared" ref="AJ456:AJ519" si="477">T456+U456+V456-W456</f>
        <v>0</v>
      </c>
      <c r="AK456" s="1294"/>
      <c r="AL456" s="1294"/>
      <c r="AM456" s="1294"/>
      <c r="AN456" s="1294"/>
      <c r="AO456" s="1294"/>
      <c r="AP456" s="1294"/>
      <c r="AQ456" s="1294">
        <f>SUM(W457:W464)</f>
        <v>158200</v>
      </c>
      <c r="AR456" s="1294">
        <f t="shared" si="453"/>
        <v>0</v>
      </c>
      <c r="AS456" s="1136">
        <f>SUM(W462:W469)</f>
        <v>1002830</v>
      </c>
      <c r="AT456" s="668">
        <f t="shared" si="447"/>
        <v>18000</v>
      </c>
      <c r="AU456" s="463">
        <f>SUM(W462:W469)</f>
        <v>1002830</v>
      </c>
      <c r="AV456" s="468">
        <f t="shared" si="448"/>
        <v>18000</v>
      </c>
      <c r="AW456" s="468">
        <f t="shared" si="446"/>
        <v>-16000</v>
      </c>
      <c r="AX456" s="463"/>
      <c r="AY456" s="463"/>
      <c r="AZ456" s="463"/>
      <c r="BA456" s="463"/>
      <c r="BB456" s="463"/>
      <c r="BC456" s="437">
        <f>'[2]PRIH REBALANS'!$AK$1082</f>
        <v>101300</v>
      </c>
      <c r="BD456" s="437"/>
      <c r="BE456">
        <f t="shared" si="444"/>
        <v>40</v>
      </c>
      <c r="BF456" s="437" t="e">
        <f>BE456-#REF!</f>
        <v>#REF!</v>
      </c>
      <c r="BG456" s="209">
        <f>SUM(W462:W469)</f>
        <v>1002830</v>
      </c>
    </row>
    <row r="457" spans="1:59" ht="39" customHeight="1">
      <c r="A457" s="1624"/>
      <c r="B457" s="1625"/>
      <c r="C457" s="1625"/>
      <c r="D457" s="1373">
        <v>111</v>
      </c>
      <c r="E457" s="1384"/>
      <c r="F457" s="1806">
        <v>613911</v>
      </c>
      <c r="G457" s="1845" t="s">
        <v>223</v>
      </c>
      <c r="H457" s="1608">
        <v>3000</v>
      </c>
      <c r="I457" s="1380"/>
      <c r="J457" s="1575"/>
      <c r="K457" s="1576">
        <v>3000</v>
      </c>
      <c r="L457" s="1627">
        <v>3000</v>
      </c>
      <c r="M457" s="1303"/>
      <c r="N457" s="1302"/>
      <c r="O457" s="1375">
        <f t="shared" ref="O457:O464" si="478">SUM(L457:N457)</f>
        <v>3000</v>
      </c>
      <c r="P457" s="1627">
        <v>5000</v>
      </c>
      <c r="Q457" s="1303"/>
      <c r="R457" s="1302"/>
      <c r="S457" s="1375">
        <f t="shared" ref="S457:S464" si="479">SUM(P457:R457)</f>
        <v>5000</v>
      </c>
      <c r="T457" s="1627">
        <v>5000</v>
      </c>
      <c r="U457" s="1303"/>
      <c r="V457" s="1302"/>
      <c r="W457" s="1375">
        <f>SUM(T457:V457)</f>
        <v>5000</v>
      </c>
      <c r="X457" s="1578">
        <f t="shared" si="475"/>
        <v>166.66666666666669</v>
      </c>
      <c r="Y457" s="2457"/>
      <c r="Z457" s="1136"/>
      <c r="AA457" s="1136"/>
      <c r="AB457" s="1293">
        <f t="shared" si="468"/>
        <v>0</v>
      </c>
      <c r="AC457" s="1293">
        <f t="shared" si="470"/>
        <v>0</v>
      </c>
      <c r="AD457" s="1293">
        <f t="shared" si="476"/>
        <v>2000</v>
      </c>
      <c r="AE457" s="1293">
        <f t="shared" si="469"/>
        <v>0</v>
      </c>
      <c r="AF457" s="1294"/>
      <c r="AG457" s="1294"/>
      <c r="AH457" s="1294">
        <f t="shared" si="471"/>
        <v>2000</v>
      </c>
      <c r="AI457" s="1294">
        <f t="shared" si="460"/>
        <v>0</v>
      </c>
      <c r="AJ457" s="1293">
        <f t="shared" si="477"/>
        <v>0</v>
      </c>
      <c r="AK457" s="1294"/>
      <c r="AL457" s="1294"/>
      <c r="AM457" s="1294"/>
      <c r="AN457" s="1294"/>
      <c r="AO457" s="1294"/>
      <c r="AP457" s="1294"/>
      <c r="AQ457" s="1294"/>
      <c r="AR457" s="1294">
        <f t="shared" si="453"/>
        <v>0</v>
      </c>
      <c r="AS457" s="1136"/>
      <c r="AT457" s="668">
        <f t="shared" si="447"/>
        <v>800</v>
      </c>
      <c r="AU457" s="463"/>
      <c r="AV457" s="468">
        <f t="shared" si="448"/>
        <v>800</v>
      </c>
      <c r="AW457" s="468">
        <f t="shared" si="446"/>
        <v>400</v>
      </c>
      <c r="AX457" s="48"/>
      <c r="AY457" s="48"/>
      <c r="AZ457" s="48"/>
      <c r="BA457" s="48"/>
      <c r="BB457" s="48"/>
      <c r="BC457" s="578">
        <v>3000</v>
      </c>
      <c r="BD457" s="437"/>
      <c r="BE457" t="e">
        <f>#REF!/O458*100</f>
        <v>#REF!</v>
      </c>
      <c r="BF457" s="437" t="e">
        <f>BE457-X464</f>
        <v>#REF!</v>
      </c>
    </row>
    <row r="458" spans="1:59" ht="39" customHeight="1">
      <c r="A458" s="1624"/>
      <c r="B458" s="1625"/>
      <c r="C458" s="1625"/>
      <c r="D458" s="1373">
        <v>111</v>
      </c>
      <c r="E458" s="1383" t="s">
        <v>206</v>
      </c>
      <c r="F458" s="1806">
        <v>613912</v>
      </c>
      <c r="G458" s="1845" t="s">
        <v>275</v>
      </c>
      <c r="H458" s="1608">
        <v>45000</v>
      </c>
      <c r="I458" s="1575"/>
      <c r="J458" s="1575"/>
      <c r="K458" s="1576">
        <v>45000</v>
      </c>
      <c r="L458" s="1627">
        <v>80000</v>
      </c>
      <c r="M458" s="1301"/>
      <c r="N458" s="1302"/>
      <c r="O458" s="1375">
        <f t="shared" si="478"/>
        <v>80000</v>
      </c>
      <c r="P458" s="1627">
        <v>90000</v>
      </c>
      <c r="Q458" s="1301"/>
      <c r="R458" s="1302"/>
      <c r="S458" s="1375">
        <f t="shared" si="479"/>
        <v>90000</v>
      </c>
      <c r="T458" s="1627">
        <v>80000</v>
      </c>
      <c r="U458" s="1301"/>
      <c r="V458" s="1302"/>
      <c r="W458" s="1375">
        <f t="shared" ref="W458:W464" si="480">SUM(T458:V458)</f>
        <v>80000</v>
      </c>
      <c r="X458" s="1578">
        <f t="shared" si="475"/>
        <v>100</v>
      </c>
      <c r="Y458" s="2457"/>
      <c r="Z458" s="1136"/>
      <c r="AA458" s="1136"/>
      <c r="AB458" s="1293">
        <f t="shared" si="468"/>
        <v>0</v>
      </c>
      <c r="AC458" s="1293">
        <f t="shared" si="470"/>
        <v>0</v>
      </c>
      <c r="AD458" s="1293">
        <f t="shared" si="476"/>
        <v>0</v>
      </c>
      <c r="AE458" s="1293">
        <f t="shared" si="469"/>
        <v>0</v>
      </c>
      <c r="AF458" s="1294"/>
      <c r="AG458" s="1294"/>
      <c r="AH458" s="1294">
        <f t="shared" si="471"/>
        <v>0</v>
      </c>
      <c r="AI458" s="1294">
        <f t="shared" si="460"/>
        <v>0</v>
      </c>
      <c r="AJ458" s="1293">
        <f t="shared" si="477"/>
        <v>0</v>
      </c>
      <c r="AK458" s="1294"/>
      <c r="AL458" s="1294"/>
      <c r="AM458" s="1294"/>
      <c r="AN458" s="1294"/>
      <c r="AO458" s="1294"/>
      <c r="AP458" s="1294"/>
      <c r="AQ458" s="1294"/>
      <c r="AR458" s="1294">
        <f t="shared" si="453"/>
        <v>0</v>
      </c>
      <c r="AS458" s="1136"/>
      <c r="AT458" s="668" t="e">
        <f>T462+U462+V462-#REF!</f>
        <v>#REF!</v>
      </c>
      <c r="AU458" s="674" t="s">
        <v>1562</v>
      </c>
      <c r="AV458" s="468" t="e">
        <f>T462+U462+V462-#REF!</f>
        <v>#REF!</v>
      </c>
      <c r="AW458" s="468" t="e">
        <f>#REF!-AV458</f>
        <v>#REF!</v>
      </c>
      <c r="AX458" s="48"/>
      <c r="AY458" s="48"/>
      <c r="AZ458" s="48"/>
      <c r="BA458" s="48"/>
      <c r="BB458" s="48"/>
      <c r="BC458" s="578">
        <v>75000</v>
      </c>
      <c r="BD458" s="437"/>
      <c r="BE458">
        <f>W463/O459*100</f>
        <v>750</v>
      </c>
      <c r="BF458" s="437">
        <f>BE458-X465</f>
        <v>-350</v>
      </c>
    </row>
    <row r="459" spans="1:59" ht="39" customHeight="1">
      <c r="A459" s="1624"/>
      <c r="B459" s="1625"/>
      <c r="C459" s="1625"/>
      <c r="D459" s="1373">
        <v>111</v>
      </c>
      <c r="E459" s="1384"/>
      <c r="F459" s="1806">
        <v>613914</v>
      </c>
      <c r="G459" s="1845" t="s">
        <v>224</v>
      </c>
      <c r="H459" s="1608">
        <v>1500</v>
      </c>
      <c r="I459" s="1575"/>
      <c r="J459" s="1575"/>
      <c r="K459" s="1576">
        <v>1500</v>
      </c>
      <c r="L459" s="1627">
        <v>4000</v>
      </c>
      <c r="M459" s="1301"/>
      <c r="N459" s="1302"/>
      <c r="O459" s="1375">
        <f t="shared" si="478"/>
        <v>4000</v>
      </c>
      <c r="P459" s="1627">
        <v>10000</v>
      </c>
      <c r="Q459" s="1301"/>
      <c r="R459" s="1302"/>
      <c r="S459" s="1375">
        <f t="shared" si="479"/>
        <v>10000</v>
      </c>
      <c r="T459" s="1627">
        <v>10000</v>
      </c>
      <c r="U459" s="1301"/>
      <c r="V459" s="1302"/>
      <c r="W459" s="1375">
        <f t="shared" si="480"/>
        <v>10000</v>
      </c>
      <c r="X459" s="1578">
        <f t="shared" si="475"/>
        <v>250</v>
      </c>
      <c r="Y459" s="2457"/>
      <c r="Z459" s="1136"/>
      <c r="AA459" s="1136"/>
      <c r="AB459" s="1293">
        <f t="shared" si="468"/>
        <v>0</v>
      </c>
      <c r="AC459" s="1293">
        <f t="shared" si="470"/>
        <v>0</v>
      </c>
      <c r="AD459" s="1293">
        <f t="shared" si="476"/>
        <v>6000</v>
      </c>
      <c r="AE459" s="1293">
        <f t="shared" si="469"/>
        <v>0</v>
      </c>
      <c r="AF459" s="1294"/>
      <c r="AG459" s="1294"/>
      <c r="AH459" s="1294">
        <f t="shared" si="471"/>
        <v>6000</v>
      </c>
      <c r="AI459" s="1294">
        <f t="shared" si="460"/>
        <v>0</v>
      </c>
      <c r="AJ459" s="1293">
        <f t="shared" si="477"/>
        <v>0</v>
      </c>
      <c r="AK459" s="1294"/>
      <c r="AL459" s="1294"/>
      <c r="AM459" s="1294"/>
      <c r="AN459" s="1294"/>
      <c r="AO459" s="1294"/>
      <c r="AP459" s="1294"/>
      <c r="AQ459" s="1294"/>
      <c r="AR459" s="1294">
        <f t="shared" si="453"/>
        <v>0</v>
      </c>
      <c r="AS459" s="1136"/>
      <c r="AT459" s="668" t="e">
        <f>#REF!+#REF!+#REF!-W463</f>
        <v>#REF!</v>
      </c>
      <c r="AU459" s="463"/>
      <c r="AV459" s="468" t="e">
        <f>#REF!+#REF!+#REF!-W463</f>
        <v>#REF!</v>
      </c>
      <c r="AW459" s="468" t="e">
        <f>W463-AV459</f>
        <v>#REF!</v>
      </c>
      <c r="AX459" s="48"/>
      <c r="AY459" s="48"/>
      <c r="AZ459" s="48"/>
      <c r="BA459" s="48"/>
      <c r="BB459" s="48"/>
      <c r="BC459" s="578">
        <v>4000</v>
      </c>
      <c r="BD459" s="437"/>
      <c r="BE459">
        <f>W464/O460*100</f>
        <v>333.33333333333337</v>
      </c>
      <c r="BF459" s="437">
        <f>BE459-X466</f>
        <v>-766.66666666666663</v>
      </c>
    </row>
    <row r="460" spans="1:59" ht="39" customHeight="1">
      <c r="A460" s="1624"/>
      <c r="B460" s="1625"/>
      <c r="C460" s="1625"/>
      <c r="D460" s="1373">
        <v>111</v>
      </c>
      <c r="E460" s="1384"/>
      <c r="F460" s="1806">
        <v>613915</v>
      </c>
      <c r="G460" s="1845" t="s">
        <v>562</v>
      </c>
      <c r="H460" s="1608">
        <v>3000</v>
      </c>
      <c r="I460" s="1575"/>
      <c r="J460" s="1575"/>
      <c r="K460" s="1576">
        <v>3000</v>
      </c>
      <c r="L460" s="1627">
        <v>3000</v>
      </c>
      <c r="M460" s="1301"/>
      <c r="N460" s="1302"/>
      <c r="O460" s="1375">
        <f t="shared" si="478"/>
        <v>3000</v>
      </c>
      <c r="P460" s="1627">
        <v>20000</v>
      </c>
      <c r="Q460" s="1301"/>
      <c r="R460" s="1302"/>
      <c r="S460" s="1375">
        <f t="shared" si="479"/>
        <v>20000</v>
      </c>
      <c r="T460" s="1627">
        <v>20000</v>
      </c>
      <c r="U460" s="1301"/>
      <c r="V460" s="1302"/>
      <c r="W460" s="1375">
        <f t="shared" si="480"/>
        <v>20000</v>
      </c>
      <c r="X460" s="1578">
        <f t="shared" si="475"/>
        <v>666.66666666666674</v>
      </c>
      <c r="Y460" s="2457"/>
      <c r="Z460" s="1136"/>
      <c r="AA460" s="1136"/>
      <c r="AB460" s="1293">
        <f t="shared" si="468"/>
        <v>0</v>
      </c>
      <c r="AC460" s="1293">
        <f t="shared" si="470"/>
        <v>0</v>
      </c>
      <c r="AD460" s="1293">
        <f t="shared" si="476"/>
        <v>17000</v>
      </c>
      <c r="AE460" s="1293">
        <f t="shared" si="469"/>
        <v>0</v>
      </c>
      <c r="AF460" s="1294"/>
      <c r="AG460" s="1294"/>
      <c r="AH460" s="1294">
        <f t="shared" si="471"/>
        <v>17000</v>
      </c>
      <c r="AI460" s="1294">
        <f t="shared" si="460"/>
        <v>0</v>
      </c>
      <c r="AJ460" s="1293">
        <f t="shared" si="477"/>
        <v>0</v>
      </c>
      <c r="AK460" s="1294"/>
      <c r="AL460" s="1294"/>
      <c r="AM460" s="1294"/>
      <c r="AN460" s="1294"/>
      <c r="AO460" s="1294"/>
      <c r="AP460" s="1294"/>
      <c r="AQ460" s="1294"/>
      <c r="AR460" s="1294">
        <f t="shared" si="453"/>
        <v>0</v>
      </c>
      <c r="AS460" s="1136"/>
      <c r="AT460" s="668">
        <f>T463+U463+V463-W464</f>
        <v>20000</v>
      </c>
      <c r="AU460" s="463"/>
      <c r="AV460" s="468">
        <f>T463+U463+V463-W464</f>
        <v>20000</v>
      </c>
      <c r="AW460" s="468">
        <f>W464-AV460</f>
        <v>-10000</v>
      </c>
      <c r="AX460" s="48"/>
      <c r="AY460" s="48"/>
      <c r="AZ460" s="48"/>
      <c r="BA460" s="48"/>
      <c r="BB460" s="48"/>
      <c r="BC460" s="578">
        <v>3000</v>
      </c>
      <c r="BD460" s="437"/>
      <c r="BE460">
        <f>W465/O461*100</f>
        <v>2750</v>
      </c>
      <c r="BF460" s="437">
        <f>BE460-X467</f>
        <v>2625.2358113509194</v>
      </c>
    </row>
    <row r="461" spans="1:59" ht="39" customHeight="1">
      <c r="A461" s="1624"/>
      <c r="B461" s="1625"/>
      <c r="C461" s="1625"/>
      <c r="D461" s="1373">
        <v>111</v>
      </c>
      <c r="E461" s="1384"/>
      <c r="F461" s="1806">
        <v>613920</v>
      </c>
      <c r="G461" s="1845" t="s">
        <v>568</v>
      </c>
      <c r="H461" s="1608">
        <v>2000</v>
      </c>
      <c r="I461" s="1575"/>
      <c r="J461" s="1575"/>
      <c r="K461" s="1576">
        <v>2000</v>
      </c>
      <c r="L461" s="1627">
        <v>2000</v>
      </c>
      <c r="M461" s="1301"/>
      <c r="N461" s="1302"/>
      <c r="O461" s="1375">
        <f t="shared" si="478"/>
        <v>2000</v>
      </c>
      <c r="P461" s="1627">
        <v>2000</v>
      </c>
      <c r="Q461" s="1301"/>
      <c r="R461" s="1302"/>
      <c r="S461" s="1375">
        <f t="shared" si="479"/>
        <v>2000</v>
      </c>
      <c r="T461" s="1627">
        <v>2000</v>
      </c>
      <c r="U461" s="1301"/>
      <c r="V461" s="1302"/>
      <c r="W461" s="1375">
        <f t="shared" si="480"/>
        <v>2000</v>
      </c>
      <c r="X461" s="1578">
        <f t="shared" si="475"/>
        <v>100</v>
      </c>
      <c r="Y461" s="2457"/>
      <c r="Z461" s="1136"/>
      <c r="AA461" s="1136"/>
      <c r="AB461" s="1293">
        <f t="shared" si="468"/>
        <v>0</v>
      </c>
      <c r="AC461" s="1293">
        <f t="shared" si="470"/>
        <v>0</v>
      </c>
      <c r="AD461" s="1293">
        <f t="shared" si="476"/>
        <v>0</v>
      </c>
      <c r="AE461" s="1293">
        <f t="shared" si="469"/>
        <v>0</v>
      </c>
      <c r="AF461" s="1294"/>
      <c r="AG461" s="1294"/>
      <c r="AH461" s="1294">
        <f t="shared" si="471"/>
        <v>0</v>
      </c>
      <c r="AI461" s="1294">
        <f t="shared" si="460"/>
        <v>0</v>
      </c>
      <c r="AJ461" s="1293">
        <f t="shared" si="477"/>
        <v>0</v>
      </c>
      <c r="AK461" s="1294"/>
      <c r="AL461" s="1294"/>
      <c r="AM461" s="1294"/>
      <c r="AN461" s="1294"/>
      <c r="AO461" s="1294"/>
      <c r="AP461" s="1294"/>
      <c r="AQ461" s="1294"/>
      <c r="AR461" s="1294">
        <f t="shared" si="453"/>
        <v>0</v>
      </c>
      <c r="AS461" s="1136"/>
      <c r="AT461" s="668">
        <f>T464+U464+V464-W465</f>
        <v>-45000</v>
      </c>
      <c r="AU461" s="463"/>
      <c r="AV461" s="468">
        <f>T464+U464+V464-W465</f>
        <v>-45000</v>
      </c>
      <c r="AW461" s="468">
        <f>W465-AV461</f>
        <v>100000</v>
      </c>
      <c r="AX461" s="48"/>
      <c r="AY461" s="48"/>
      <c r="AZ461" s="48"/>
      <c r="BA461" s="48"/>
      <c r="BB461" s="48"/>
      <c r="BC461" s="578">
        <v>2000</v>
      </c>
      <c r="BD461" s="437"/>
      <c r="BE461">
        <f>W466/O462*100</f>
        <v>6875</v>
      </c>
      <c r="BF461" s="437">
        <f t="shared" ref="BF461:BF502" si="481">BE461-X469</f>
        <v>6747.7124833997341</v>
      </c>
    </row>
    <row r="462" spans="1:59" ht="39" customHeight="1">
      <c r="A462" s="1376"/>
      <c r="B462" s="1573"/>
      <c r="C462" s="1573"/>
      <c r="D462" s="1373">
        <v>111</v>
      </c>
      <c r="E462" s="1574"/>
      <c r="F462" s="1805">
        <v>613983</v>
      </c>
      <c r="G462" s="1849" t="s">
        <v>703</v>
      </c>
      <c r="H462" s="1575">
        <v>800</v>
      </c>
      <c r="I462" s="1575"/>
      <c r="J462" s="1575"/>
      <c r="K462" s="1374">
        <v>800</v>
      </c>
      <c r="L462" s="1577">
        <v>800</v>
      </c>
      <c r="M462" s="1301"/>
      <c r="N462" s="1302"/>
      <c r="O462" s="1375">
        <f t="shared" si="478"/>
        <v>800</v>
      </c>
      <c r="P462" s="1627">
        <v>1200</v>
      </c>
      <c r="Q462" s="1301"/>
      <c r="R462" s="1302"/>
      <c r="S462" s="1375">
        <f t="shared" si="479"/>
        <v>1200</v>
      </c>
      <c r="T462" s="1627">
        <v>1200</v>
      </c>
      <c r="U462" s="1301"/>
      <c r="V462" s="1302"/>
      <c r="W462" s="1375">
        <f t="shared" si="480"/>
        <v>1200</v>
      </c>
      <c r="X462" s="1578">
        <f t="shared" si="475"/>
        <v>150</v>
      </c>
      <c r="Y462" s="2457"/>
      <c r="Z462" s="1136"/>
      <c r="AA462" s="1136"/>
      <c r="AB462" s="1293">
        <f t="shared" si="468"/>
        <v>0</v>
      </c>
      <c r="AC462" s="1293">
        <f t="shared" si="470"/>
        <v>0</v>
      </c>
      <c r="AD462" s="1293">
        <f t="shared" si="476"/>
        <v>400</v>
      </c>
      <c r="AE462" s="1293">
        <f t="shared" si="469"/>
        <v>0</v>
      </c>
      <c r="AF462" s="1294"/>
      <c r="AG462" s="1294"/>
      <c r="AH462" s="1294">
        <f t="shared" si="471"/>
        <v>400</v>
      </c>
      <c r="AI462" s="1294">
        <f t="shared" si="460"/>
        <v>0</v>
      </c>
      <c r="AJ462" s="1293">
        <f t="shared" si="477"/>
        <v>0</v>
      </c>
      <c r="AK462" s="1294"/>
      <c r="AL462" s="1294"/>
      <c r="AM462" s="1294"/>
      <c r="AN462" s="1294"/>
      <c r="AO462" s="1294"/>
      <c r="AP462" s="1294"/>
      <c r="AQ462" s="1294"/>
      <c r="AR462" s="1294">
        <f t="shared" si="453"/>
        <v>0</v>
      </c>
      <c r="AS462" s="1136"/>
      <c r="AT462" s="668">
        <f>T465+U465+V465-W466</f>
        <v>0</v>
      </c>
      <c r="AU462" s="463"/>
      <c r="AV462" s="468">
        <f>T465+U465+V465-W466</f>
        <v>0</v>
      </c>
      <c r="AW462" s="468">
        <f>W466-AV462</f>
        <v>55000</v>
      </c>
      <c r="AX462" s="48"/>
      <c r="AY462" s="48"/>
      <c r="AZ462" s="48"/>
      <c r="BA462" s="48"/>
      <c r="BB462" s="48"/>
      <c r="BC462" s="434">
        <v>800</v>
      </c>
      <c r="BD462" s="437"/>
      <c r="BE462">
        <f t="shared" ref="BE462:BE500" si="482">W468/O463*100</f>
        <v>0</v>
      </c>
      <c r="BF462" s="437">
        <f t="shared" si="481"/>
        <v>-121.73507462686568</v>
      </c>
    </row>
    <row r="463" spans="1:59" ht="39" customHeight="1">
      <c r="A463" s="1572"/>
      <c r="B463" s="1377"/>
      <c r="C463" s="1377"/>
      <c r="D463" s="1373">
        <v>111</v>
      </c>
      <c r="E463" s="1373"/>
      <c r="F463" s="1824">
        <v>613934</v>
      </c>
      <c r="G463" s="1873" t="s">
        <v>563</v>
      </c>
      <c r="H463" s="1575"/>
      <c r="I463" s="1575"/>
      <c r="J463" s="1575"/>
      <c r="K463" s="1374"/>
      <c r="L463" s="1577">
        <v>4000</v>
      </c>
      <c r="M463" s="1301"/>
      <c r="N463" s="1302"/>
      <c r="O463" s="1375">
        <f t="shared" si="478"/>
        <v>4000</v>
      </c>
      <c r="P463" s="1577">
        <v>30000</v>
      </c>
      <c r="Q463" s="1301"/>
      <c r="R463" s="1302"/>
      <c r="S463" s="1375">
        <f t="shared" si="479"/>
        <v>30000</v>
      </c>
      <c r="T463" s="1577">
        <v>30000</v>
      </c>
      <c r="U463" s="1301"/>
      <c r="V463" s="1302"/>
      <c r="W463" s="1375">
        <f t="shared" si="480"/>
        <v>30000</v>
      </c>
      <c r="X463" s="1578">
        <f t="shared" si="475"/>
        <v>750</v>
      </c>
      <c r="Y463" s="2457"/>
      <c r="Z463" s="1136"/>
      <c r="AA463" s="1136"/>
      <c r="AB463" s="1293">
        <f t="shared" si="468"/>
        <v>0</v>
      </c>
      <c r="AC463" s="1293">
        <f t="shared" si="470"/>
        <v>0</v>
      </c>
      <c r="AD463" s="1293">
        <f t="shared" si="476"/>
        <v>26000</v>
      </c>
      <c r="AE463" s="1293">
        <f t="shared" si="469"/>
        <v>0</v>
      </c>
      <c r="AF463" s="1294"/>
      <c r="AG463" s="1294"/>
      <c r="AH463" s="1294">
        <f t="shared" si="471"/>
        <v>26000</v>
      </c>
      <c r="AI463" s="1294">
        <f t="shared" si="460"/>
        <v>0</v>
      </c>
      <c r="AJ463" s="1293">
        <f t="shared" si="477"/>
        <v>0</v>
      </c>
      <c r="AK463" s="1294"/>
      <c r="AL463" s="1294"/>
      <c r="AM463" s="1294"/>
      <c r="AN463" s="1294"/>
      <c r="AO463" s="1294"/>
      <c r="AP463" s="1294"/>
      <c r="AQ463" s="1294"/>
      <c r="AR463" s="1294">
        <f t="shared" si="453"/>
        <v>0</v>
      </c>
      <c r="AS463" s="1136"/>
      <c r="AT463" s="668">
        <f>T466+U466+V466-W468</f>
        <v>55000</v>
      </c>
      <c r="AU463" s="463"/>
      <c r="AV463" s="468">
        <f>T466+U466+V466-W468</f>
        <v>55000</v>
      </c>
      <c r="AW463" s="468">
        <f t="shared" ref="AW463:AW494" si="483">W468-AV463</f>
        <v>-55000</v>
      </c>
      <c r="AX463" s="48"/>
      <c r="AY463" s="48"/>
      <c r="AZ463" s="48"/>
      <c r="BA463" s="48"/>
      <c r="BB463" s="48"/>
      <c r="BC463" s="434">
        <v>4000</v>
      </c>
      <c r="BD463" s="437"/>
      <c r="BE463">
        <f t="shared" si="482"/>
        <v>8519.7777777777774</v>
      </c>
      <c r="BF463" s="437">
        <f t="shared" si="481"/>
        <v>8398.1561561561557</v>
      </c>
    </row>
    <row r="464" spans="1:59" ht="39" customHeight="1">
      <c r="A464" s="1572"/>
      <c r="B464" s="1377"/>
      <c r="C464" s="1377"/>
      <c r="D464" s="1373">
        <v>111</v>
      </c>
      <c r="E464" s="1373"/>
      <c r="F464" s="1806">
        <v>613991</v>
      </c>
      <c r="G464" s="1845" t="s">
        <v>235</v>
      </c>
      <c r="H464" s="1575">
        <v>4500</v>
      </c>
      <c r="I464" s="1575"/>
      <c r="J464" s="1575"/>
      <c r="K464" s="1374">
        <v>4500</v>
      </c>
      <c r="L464" s="1577">
        <v>4500</v>
      </c>
      <c r="M464" s="1301"/>
      <c r="N464" s="1302"/>
      <c r="O464" s="1375">
        <f t="shared" si="478"/>
        <v>4500</v>
      </c>
      <c r="P464" s="1577">
        <v>10000</v>
      </c>
      <c r="Q464" s="1301"/>
      <c r="R464" s="1302"/>
      <c r="S464" s="1375">
        <f t="shared" si="479"/>
        <v>10000</v>
      </c>
      <c r="T464" s="1577">
        <v>10000</v>
      </c>
      <c r="U464" s="1301"/>
      <c r="V464" s="1302"/>
      <c r="W464" s="1375">
        <f t="shared" si="480"/>
        <v>10000</v>
      </c>
      <c r="X464" s="1578">
        <f t="shared" si="475"/>
        <v>222.22222222222223</v>
      </c>
      <c r="Y464" s="2457"/>
      <c r="Z464" s="1136"/>
      <c r="AA464" s="1136"/>
      <c r="AB464" s="1293">
        <f t="shared" si="468"/>
        <v>0</v>
      </c>
      <c r="AC464" s="1293">
        <f t="shared" si="470"/>
        <v>0</v>
      </c>
      <c r="AD464" s="1293">
        <f t="shared" si="476"/>
        <v>5500</v>
      </c>
      <c r="AE464" s="1293">
        <f t="shared" si="469"/>
        <v>0</v>
      </c>
      <c r="AF464" s="1294"/>
      <c r="AG464" s="1294"/>
      <c r="AH464" s="1294">
        <f t="shared" si="471"/>
        <v>5500</v>
      </c>
      <c r="AI464" s="1294">
        <f t="shared" si="460"/>
        <v>0</v>
      </c>
      <c r="AJ464" s="1293">
        <f t="shared" si="477"/>
        <v>0</v>
      </c>
      <c r="AK464" s="1294"/>
      <c r="AL464" s="1294"/>
      <c r="AM464" s="1294"/>
      <c r="AN464" s="1294"/>
      <c r="AO464" s="1294"/>
      <c r="AP464" s="1294"/>
      <c r="AQ464" s="1294"/>
      <c r="AR464" s="1294">
        <f t="shared" si="453"/>
        <v>0</v>
      </c>
      <c r="AS464" s="1136"/>
      <c r="AT464" s="668">
        <f t="shared" ref="AT464:AT495" si="484">T468+U468+V468-W469</f>
        <v>-383390</v>
      </c>
      <c r="AU464" s="463"/>
      <c r="AV464" s="468">
        <f t="shared" ref="AV464:AV497" si="485">T468+U468+V468-W469</f>
        <v>-383390</v>
      </c>
      <c r="AW464" s="468">
        <f t="shared" si="483"/>
        <v>766780</v>
      </c>
      <c r="AX464" s="48"/>
      <c r="AY464" s="48"/>
      <c r="AZ464" s="48"/>
      <c r="BA464" s="48"/>
      <c r="BB464" s="48"/>
      <c r="BC464" s="434">
        <v>4500</v>
      </c>
      <c r="BD464" s="437"/>
      <c r="BE464">
        <f t="shared" si="482"/>
        <v>6525</v>
      </c>
      <c r="BF464" s="437">
        <f t="shared" si="481"/>
        <v>6403.0120481927706</v>
      </c>
    </row>
    <row r="465" spans="1:59" ht="39" customHeight="1">
      <c r="A465" s="1621"/>
      <c r="B465" s="1629"/>
      <c r="C465" s="1629"/>
      <c r="D465" s="1373">
        <v>111</v>
      </c>
      <c r="E465" s="1383"/>
      <c r="F465" s="1807">
        <v>821000</v>
      </c>
      <c r="G465" s="1844" t="s">
        <v>236</v>
      </c>
      <c r="H465" s="1633">
        <f t="shared" ref="H465:K465" si="486">SUM(H466)</f>
        <v>6000</v>
      </c>
      <c r="I465" s="1633">
        <f t="shared" si="486"/>
        <v>0</v>
      </c>
      <c r="J465" s="1633">
        <f t="shared" si="486"/>
        <v>0</v>
      </c>
      <c r="K465" s="1630">
        <f t="shared" si="486"/>
        <v>6000</v>
      </c>
      <c r="L465" s="1632">
        <f>SUM(L466)</f>
        <v>5000</v>
      </c>
      <c r="M465" s="1319">
        <f>SUM(M466)</f>
        <v>0</v>
      </c>
      <c r="N465" s="1320">
        <f>SUM(N466)</f>
        <v>0</v>
      </c>
      <c r="O465" s="1474">
        <f>SUM(O466)</f>
        <v>5000</v>
      </c>
      <c r="P465" s="1632">
        <f>SUM(P466)</f>
        <v>80000</v>
      </c>
      <c r="Q465" s="1319"/>
      <c r="R465" s="1320"/>
      <c r="S465" s="1474">
        <v>60000</v>
      </c>
      <c r="T465" s="1632">
        <f>SUM(T466)</f>
        <v>55000</v>
      </c>
      <c r="U465" s="1319"/>
      <c r="V465" s="1320"/>
      <c r="W465" s="1317">
        <f>SUM(W466)</f>
        <v>55000</v>
      </c>
      <c r="X465" s="1578">
        <f t="shared" si="475"/>
        <v>1100</v>
      </c>
      <c r="Y465" s="2457">
        <f>'[1]PRIH REBALANS'!$AK$1081</f>
        <v>55000</v>
      </c>
      <c r="Z465" s="1136"/>
      <c r="AA465" s="1136"/>
      <c r="AB465" s="1293">
        <f t="shared" si="468"/>
        <v>0</v>
      </c>
      <c r="AC465" s="1293">
        <f t="shared" si="470"/>
        <v>0</v>
      </c>
      <c r="AD465" s="1293">
        <f t="shared" si="476"/>
        <v>50000</v>
      </c>
      <c r="AE465" s="1293">
        <f t="shared" si="469"/>
        <v>0</v>
      </c>
      <c r="AF465" s="1294"/>
      <c r="AG465" s="1294"/>
      <c r="AH465" s="1294">
        <f t="shared" si="471"/>
        <v>50000</v>
      </c>
      <c r="AI465" s="1294">
        <f t="shared" si="460"/>
        <v>0</v>
      </c>
      <c r="AJ465" s="1293">
        <f t="shared" si="477"/>
        <v>0</v>
      </c>
      <c r="AK465" s="1294"/>
      <c r="AL465" s="1294"/>
      <c r="AM465" s="1294"/>
      <c r="AN465" s="1294"/>
      <c r="AO465" s="1294"/>
      <c r="AP465" s="1294"/>
      <c r="AQ465" s="1294">
        <f>W466</f>
        <v>55000</v>
      </c>
      <c r="AR465" s="1294">
        <f t="shared" si="453"/>
        <v>0</v>
      </c>
      <c r="AS465" s="1136">
        <f>W470</f>
        <v>326250</v>
      </c>
      <c r="AT465" s="668">
        <f t="shared" si="484"/>
        <v>57140</v>
      </c>
      <c r="AU465" s="463">
        <f>W471</f>
        <v>225000</v>
      </c>
      <c r="AV465" s="468">
        <f t="shared" si="485"/>
        <v>57140</v>
      </c>
      <c r="AW465" s="468">
        <f t="shared" si="483"/>
        <v>269110</v>
      </c>
      <c r="AX465" s="272"/>
      <c r="AY465" s="272"/>
      <c r="AZ465" s="272"/>
      <c r="BA465" s="272"/>
      <c r="BB465" s="272"/>
      <c r="BC465" s="437">
        <f>'[2]PRIH REBALANS'!$AK$1095</f>
        <v>375300</v>
      </c>
      <c r="BD465" s="437"/>
      <c r="BE465">
        <f t="shared" si="482"/>
        <v>4500</v>
      </c>
      <c r="BF465" s="437">
        <f t="shared" si="481"/>
        <v>4327.8915662650606</v>
      </c>
      <c r="BG465" s="209">
        <f>SUM(W471)</f>
        <v>225000</v>
      </c>
    </row>
    <row r="466" spans="1:59" ht="39" customHeight="1">
      <c r="A466" s="1621"/>
      <c r="B466" s="1622"/>
      <c r="C466" s="1622"/>
      <c r="D466" s="1373">
        <v>111</v>
      </c>
      <c r="E466" s="1384"/>
      <c r="F466" s="1806">
        <v>821300</v>
      </c>
      <c r="G466" s="1845" t="s">
        <v>326</v>
      </c>
      <c r="H466" s="1575">
        <v>6000</v>
      </c>
      <c r="I466" s="1380"/>
      <c r="J466" s="1380"/>
      <c r="K466" s="1374">
        <v>6000</v>
      </c>
      <c r="L466" s="1577">
        <v>5000</v>
      </c>
      <c r="M466" s="1303"/>
      <c r="N466" s="1304"/>
      <c r="O466" s="1375">
        <f>SUM(L466:N466)</f>
        <v>5000</v>
      </c>
      <c r="P466" s="1577">
        <v>80000</v>
      </c>
      <c r="Q466" s="1303"/>
      <c r="R466" s="1304"/>
      <c r="S466" s="1375">
        <f>SUM(P466:R466)</f>
        <v>80000</v>
      </c>
      <c r="T466" s="1577">
        <v>55000</v>
      </c>
      <c r="U466" s="1303"/>
      <c r="V466" s="1304"/>
      <c r="W466" s="1375">
        <f>SUM(T466:V466)</f>
        <v>55000</v>
      </c>
      <c r="X466" s="1578">
        <f t="shared" si="475"/>
        <v>1100</v>
      </c>
      <c r="Y466" s="2457"/>
      <c r="Z466" s="1136"/>
      <c r="AA466" s="1136"/>
      <c r="AB466" s="1293">
        <f t="shared" si="468"/>
        <v>0</v>
      </c>
      <c r="AC466" s="1293">
        <f t="shared" si="470"/>
        <v>0</v>
      </c>
      <c r="AD466" s="1293">
        <f t="shared" si="476"/>
        <v>50000</v>
      </c>
      <c r="AE466" s="1293">
        <f t="shared" si="469"/>
        <v>0</v>
      </c>
      <c r="AF466" s="1294"/>
      <c r="AG466" s="1294"/>
      <c r="AH466" s="1294">
        <f t="shared" si="471"/>
        <v>50000</v>
      </c>
      <c r="AI466" s="1294">
        <f t="shared" si="460"/>
        <v>0</v>
      </c>
      <c r="AJ466" s="1293">
        <f t="shared" si="477"/>
        <v>0</v>
      </c>
      <c r="AK466" s="1294"/>
      <c r="AL466" s="1294"/>
      <c r="AM466" s="1294"/>
      <c r="AN466" s="1294"/>
      <c r="AO466" s="1294"/>
      <c r="AP466" s="1294"/>
      <c r="AQ466" s="1294"/>
      <c r="AR466" s="1294">
        <f t="shared" si="453"/>
        <v>0</v>
      </c>
      <c r="AS466" s="1136"/>
      <c r="AT466" s="668">
        <f t="shared" si="484"/>
        <v>101250</v>
      </c>
      <c r="AU466" s="463"/>
      <c r="AV466" s="468">
        <f t="shared" si="485"/>
        <v>101250</v>
      </c>
      <c r="AW466" s="468">
        <f t="shared" si="483"/>
        <v>123750</v>
      </c>
      <c r="AX466" s="272"/>
      <c r="AY466" s="272"/>
      <c r="AZ466" s="272"/>
      <c r="BA466" s="272"/>
      <c r="BB466" s="272"/>
      <c r="BC466" s="437">
        <f>T472+U472+V472+-W473</f>
        <v>44110</v>
      </c>
      <c r="BD466" s="437"/>
      <c r="BE466">
        <f t="shared" si="482"/>
        <v>26.978417266187048</v>
      </c>
      <c r="BF466" s="437">
        <f t="shared" si="481"/>
        <v>-154.83976455199476</v>
      </c>
    </row>
    <row r="467" spans="1:59" ht="39" customHeight="1">
      <c r="A467" s="1661" t="s">
        <v>564</v>
      </c>
      <c r="B467" s="1618"/>
      <c r="C467" s="1618"/>
      <c r="D467" s="1596">
        <v>111</v>
      </c>
      <c r="E467" s="1596" t="s">
        <v>206</v>
      </c>
      <c r="F467" s="1823"/>
      <c r="G467" s="1687" t="s">
        <v>565</v>
      </c>
      <c r="H467" s="1619">
        <f t="shared" ref="H467:K467" si="487">SUM(H469,H478,H480,H497)</f>
        <v>356300</v>
      </c>
      <c r="I467" s="1619">
        <f t="shared" si="487"/>
        <v>0</v>
      </c>
      <c r="J467" s="1619">
        <f t="shared" si="487"/>
        <v>0</v>
      </c>
      <c r="K467" s="1585">
        <f t="shared" si="487"/>
        <v>356300</v>
      </c>
      <c r="L467" s="1620">
        <f>SUM(L469,L478,L480,L497)</f>
        <v>375300</v>
      </c>
      <c r="M467" s="1313">
        <f>SUM(M469,M478,M480,M497)</f>
        <v>0</v>
      </c>
      <c r="N467" s="1314">
        <f>SUM(N469,N478,N480,N497)</f>
        <v>0</v>
      </c>
      <c r="O467" s="1335">
        <f>SUM(O469,O478,O480,O496,)</f>
        <v>375300</v>
      </c>
      <c r="P467" s="1620">
        <f>SUM(P469,P478,P480,P497)</f>
        <v>473240</v>
      </c>
      <c r="Q467" s="1313">
        <f>SUM(Q469,Q478,Q480,Q497)</f>
        <v>0</v>
      </c>
      <c r="R467" s="1314">
        <f>SUM(R469,R478,R480,R497)</f>
        <v>0</v>
      </c>
      <c r="S467" s="1335">
        <f>SUM(S469,S478,S480,S496,)</f>
        <v>473240</v>
      </c>
      <c r="T467" s="1620">
        <f>SUM(T469,T478,T480,T497)</f>
        <v>468240</v>
      </c>
      <c r="U467" s="1313">
        <f>SUM(U469,U478,U480,U497)</f>
        <v>0</v>
      </c>
      <c r="V467" s="1314">
        <f>SUM(V469,V478,V480,V497)</f>
        <v>0</v>
      </c>
      <c r="W467" s="1335">
        <f>SUM(W469,W478,W480,W496,)</f>
        <v>468240</v>
      </c>
      <c r="X467" s="1598">
        <f t="shared" si="475"/>
        <v>124.76418864908074</v>
      </c>
      <c r="Y467" s="758">
        <f>'[1]PRIH REBALANS'!$AK$1083</f>
        <v>468240</v>
      </c>
      <c r="Z467" s="1135"/>
      <c r="AA467" s="1135">
        <f>'[9]PRIH REBALANS'!$AK$1083</f>
        <v>468240</v>
      </c>
      <c r="AB467" s="1293">
        <f t="shared" si="468"/>
        <v>0</v>
      </c>
      <c r="AC467" s="1293">
        <f t="shared" si="470"/>
        <v>0</v>
      </c>
      <c r="AD467" s="1293">
        <f t="shared" si="476"/>
        <v>92940</v>
      </c>
      <c r="AE467" s="1293">
        <f t="shared" si="469"/>
        <v>0</v>
      </c>
      <c r="AF467" s="1293"/>
      <c r="AG467" s="1293"/>
      <c r="AH467" s="1294">
        <f t="shared" si="471"/>
        <v>92940</v>
      </c>
      <c r="AI467" s="1294">
        <f t="shared" si="460"/>
        <v>0</v>
      </c>
      <c r="AJ467" s="1293">
        <f t="shared" si="477"/>
        <v>0</v>
      </c>
      <c r="AK467" s="1294"/>
      <c r="AL467" s="1294"/>
      <c r="AM467" s="1294"/>
      <c r="AN467" s="1294"/>
      <c r="AO467" s="1294"/>
      <c r="AP467" s="1294"/>
      <c r="AQ467" s="1294">
        <f>SUM(AQ470,AQ473,AQ478,AQ480,AQ496)</f>
        <v>243240</v>
      </c>
      <c r="AR467" s="1294">
        <f t="shared" si="453"/>
        <v>0</v>
      </c>
      <c r="AS467" s="1135">
        <f>AS470+AS473+AS478+AS480+AS496</f>
        <v>352190</v>
      </c>
      <c r="AT467" s="668">
        <f t="shared" si="484"/>
        <v>123750</v>
      </c>
      <c r="AU467" s="668">
        <f>SUM(AU470,AU473,AU478,AU480,AU496)</f>
        <v>284190</v>
      </c>
      <c r="AV467" s="468">
        <f t="shared" si="485"/>
        <v>123750</v>
      </c>
      <c r="AW467" s="468">
        <f t="shared" si="483"/>
        <v>-22500</v>
      </c>
      <c r="AX467" s="668"/>
      <c r="AY467" s="668"/>
      <c r="AZ467" s="668"/>
      <c r="BA467" s="668"/>
      <c r="BB467" s="668"/>
      <c r="BC467" s="437">
        <f>'[2]PRIH REBALANS'!$AK$1098</f>
        <v>268000</v>
      </c>
      <c r="BD467" s="437">
        <f>BC465-W472</f>
        <v>274050</v>
      </c>
      <c r="BE467" t="e">
        <f t="shared" si="482"/>
        <v>#DIV/0!</v>
      </c>
      <c r="BF467" s="437" t="e">
        <f t="shared" si="481"/>
        <v>#DIV/0!</v>
      </c>
      <c r="BG467" s="457">
        <f>SUM(BG470,BG473:BG481,BG496)</f>
        <v>284190</v>
      </c>
    </row>
    <row r="468" spans="1:59" ht="39" customHeight="1">
      <c r="A468" s="1661"/>
      <c r="B468" s="1618"/>
      <c r="C468" s="1618"/>
      <c r="D468" s="1657"/>
      <c r="E468" s="1662"/>
      <c r="F468" s="1823"/>
      <c r="G468" s="1834" t="s">
        <v>268</v>
      </c>
      <c r="H468" s="1619">
        <v>11</v>
      </c>
      <c r="I468" s="1619"/>
      <c r="J468" s="1619"/>
      <c r="K468" s="1585">
        <v>11</v>
      </c>
      <c r="L468" s="1620"/>
      <c r="M468" s="1313"/>
      <c r="N468" s="1314"/>
      <c r="O468" s="1335"/>
      <c r="P468" s="1620"/>
      <c r="Q468" s="1313"/>
      <c r="R468" s="1314"/>
      <c r="S468" s="1335"/>
      <c r="T468" s="1620"/>
      <c r="U468" s="1313"/>
      <c r="V468" s="1314"/>
      <c r="W468" s="1315"/>
      <c r="X468" s="1598"/>
      <c r="Y468" s="758"/>
      <c r="Z468" s="1135"/>
      <c r="AA468" s="1135"/>
      <c r="AB468" s="1293">
        <f t="shared" si="468"/>
        <v>0</v>
      </c>
      <c r="AC468" s="1293">
        <f t="shared" si="470"/>
        <v>0</v>
      </c>
      <c r="AD468" s="1293">
        <f t="shared" si="476"/>
        <v>0</v>
      </c>
      <c r="AE468" s="1293">
        <f t="shared" si="469"/>
        <v>0</v>
      </c>
      <c r="AF468" s="1293"/>
      <c r="AG468" s="1293"/>
      <c r="AH468" s="1294">
        <f t="shared" si="471"/>
        <v>0</v>
      </c>
      <c r="AI468" s="1294">
        <f t="shared" si="460"/>
        <v>0</v>
      </c>
      <c r="AJ468" s="1293">
        <f t="shared" si="477"/>
        <v>0</v>
      </c>
      <c r="AK468" s="1294"/>
      <c r="AL468" s="1294"/>
      <c r="AM468" s="1294"/>
      <c r="AN468" s="1294"/>
      <c r="AO468" s="1294"/>
      <c r="AP468" s="1294"/>
      <c r="AQ468" s="1294"/>
      <c r="AR468" s="1294">
        <f t="shared" si="453"/>
        <v>0</v>
      </c>
      <c r="AS468" s="1135"/>
      <c r="AT468" s="668">
        <f t="shared" si="484"/>
        <v>44110</v>
      </c>
      <c r="AU468" s="668"/>
      <c r="AV468" s="468">
        <f t="shared" si="485"/>
        <v>44110</v>
      </c>
      <c r="AW468" s="468">
        <f t="shared" si="483"/>
        <v>13030</v>
      </c>
      <c r="AX468" s="668"/>
      <c r="AY468" s="668"/>
      <c r="AZ468" s="668"/>
      <c r="BA468" s="668"/>
      <c r="BB468" s="668"/>
      <c r="BC468" s="437">
        <f>'[2]PRIH REBALANS'!$AK$1098</f>
        <v>268000</v>
      </c>
      <c r="BD468" s="437"/>
      <c r="BE468">
        <f t="shared" si="482"/>
        <v>1.3280212483399734</v>
      </c>
      <c r="BF468" s="437">
        <f t="shared" si="481"/>
        <v>-177.17197875166002</v>
      </c>
    </row>
    <row r="469" spans="1:59" ht="39" customHeight="1">
      <c r="A469" s="1572"/>
      <c r="B469" s="1573"/>
      <c r="C469" s="1573"/>
      <c r="D469" s="1373">
        <v>111</v>
      </c>
      <c r="E469" s="1373" t="s">
        <v>206</v>
      </c>
      <c r="F469" s="1825">
        <v>611000</v>
      </c>
      <c r="G469" s="1848" t="s">
        <v>718</v>
      </c>
      <c r="H469" s="1599">
        <f>SUM(H470,H473)</f>
        <v>286200</v>
      </c>
      <c r="I469" s="1599"/>
      <c r="J469" s="1599"/>
      <c r="K469" s="1689">
        <f>SUM(K470,K473)</f>
        <v>286200</v>
      </c>
      <c r="L469" s="1634">
        <f>SUM(L470,L473)</f>
        <v>301200</v>
      </c>
      <c r="M469" s="1321"/>
      <c r="N469" s="1322"/>
      <c r="O469" s="1336">
        <f>SUM(O470,O473)</f>
        <v>301200</v>
      </c>
      <c r="P469" s="1634">
        <f>SUM(P470+P473)</f>
        <v>383390</v>
      </c>
      <c r="Q469" s="1321"/>
      <c r="R469" s="1322"/>
      <c r="S469" s="1336">
        <f>SUM(S470+S473)</f>
        <v>383390</v>
      </c>
      <c r="T469" s="1634">
        <f>SUM(T470+T473)</f>
        <v>383390</v>
      </c>
      <c r="U469" s="1321"/>
      <c r="V469" s="1322"/>
      <c r="W469" s="1316">
        <f>SUM(W470+W473)</f>
        <v>383390</v>
      </c>
      <c r="X469" s="1578">
        <f t="shared" si="475"/>
        <v>127.2875166002656</v>
      </c>
      <c r="Y469" s="2457"/>
      <c r="Z469" s="1136"/>
      <c r="AA469" s="1136"/>
      <c r="AB469" s="1293">
        <f t="shared" si="468"/>
        <v>0</v>
      </c>
      <c r="AC469" s="1293">
        <f t="shared" si="470"/>
        <v>0</v>
      </c>
      <c r="AD469" s="1293">
        <f t="shared" si="476"/>
        <v>82190</v>
      </c>
      <c r="AE469" s="1293">
        <f t="shared" si="469"/>
        <v>0</v>
      </c>
      <c r="AF469" s="1294"/>
      <c r="AG469" s="1294"/>
      <c r="AH469" s="1294">
        <f t="shared" si="471"/>
        <v>82190</v>
      </c>
      <c r="AI469" s="1294">
        <f t="shared" si="460"/>
        <v>0</v>
      </c>
      <c r="AJ469" s="1293">
        <f t="shared" si="477"/>
        <v>0</v>
      </c>
      <c r="AK469" s="1294"/>
      <c r="AL469" s="1294"/>
      <c r="AM469" s="1294"/>
      <c r="AN469" s="1294"/>
      <c r="AO469" s="1294"/>
      <c r="AP469" s="1294"/>
      <c r="AQ469" s="1294"/>
      <c r="AR469" s="1294">
        <f t="shared" si="453"/>
        <v>0</v>
      </c>
      <c r="AS469" s="1136"/>
      <c r="AT469" s="668">
        <f t="shared" si="484"/>
        <v>53140</v>
      </c>
      <c r="AU469" s="463"/>
      <c r="AV469" s="468">
        <f t="shared" si="485"/>
        <v>53140</v>
      </c>
      <c r="AW469" s="468">
        <f t="shared" si="483"/>
        <v>-49140</v>
      </c>
      <c r="AX469" s="463"/>
      <c r="AY469" s="463"/>
      <c r="AZ469" s="463"/>
      <c r="BA469" s="463"/>
      <c r="BB469" s="463"/>
      <c r="BC469" s="437">
        <f>T475+U475+V475+-W476</f>
        <v>29860</v>
      </c>
      <c r="BD469" s="437"/>
      <c r="BE469">
        <f t="shared" si="482"/>
        <v>13.805970149253731</v>
      </c>
      <c r="BF469" s="437">
        <f t="shared" si="481"/>
        <v>-86.194029850746261</v>
      </c>
    </row>
    <row r="470" spans="1:59" ht="39" customHeight="1">
      <c r="A470" s="1572"/>
      <c r="B470" s="1573"/>
      <c r="C470" s="1573"/>
      <c r="D470" s="1373">
        <v>111</v>
      </c>
      <c r="E470" s="1373"/>
      <c r="F470" s="1825" t="s">
        <v>166</v>
      </c>
      <c r="G470" s="1848" t="s">
        <v>657</v>
      </c>
      <c r="H470" s="1599">
        <f>SUM(H471:H472)</f>
        <v>257000</v>
      </c>
      <c r="I470" s="1599"/>
      <c r="J470" s="1599"/>
      <c r="K470" s="1689">
        <f>SUM(K471:K472)</f>
        <v>257000</v>
      </c>
      <c r="L470" s="1601">
        <f>SUM(L471:L472)</f>
        <v>268000</v>
      </c>
      <c r="M470" s="1321"/>
      <c r="N470" s="1322"/>
      <c r="O470" s="1336">
        <f>SUM(O471:O472)</f>
        <v>268000</v>
      </c>
      <c r="P470" s="1601">
        <f>SUM(P471:P472)</f>
        <v>326250</v>
      </c>
      <c r="Q470" s="1321"/>
      <c r="R470" s="1322"/>
      <c r="S470" s="1336">
        <f>SUM(S471:S472)</f>
        <v>326250</v>
      </c>
      <c r="T470" s="1601">
        <f>SUM(T471:T472)</f>
        <v>326250</v>
      </c>
      <c r="U470" s="1321"/>
      <c r="V470" s="1322"/>
      <c r="W470" s="1316">
        <f>SUM(W471:W472)</f>
        <v>326250</v>
      </c>
      <c r="X470" s="1578">
        <f t="shared" si="475"/>
        <v>121.73507462686568</v>
      </c>
      <c r="Y470" s="2457">
        <f>'[1]PRIH REBALANS'!$AK$1086</f>
        <v>326250</v>
      </c>
      <c r="Z470" s="1136"/>
      <c r="AA470" s="1136"/>
      <c r="AB470" s="1293">
        <f t="shared" si="468"/>
        <v>0</v>
      </c>
      <c r="AC470" s="1293">
        <f t="shared" si="470"/>
        <v>0</v>
      </c>
      <c r="AD470" s="1293">
        <f t="shared" si="476"/>
        <v>58250</v>
      </c>
      <c r="AE470" s="1293">
        <f t="shared" si="469"/>
        <v>0</v>
      </c>
      <c r="AF470" s="1294"/>
      <c r="AG470" s="1294"/>
      <c r="AH470" s="1294">
        <f t="shared" si="471"/>
        <v>58250</v>
      </c>
      <c r="AI470" s="1294">
        <f t="shared" si="460"/>
        <v>0</v>
      </c>
      <c r="AJ470" s="1293">
        <f t="shared" si="477"/>
        <v>0</v>
      </c>
      <c r="AK470" s="1294"/>
      <c r="AL470" s="1294"/>
      <c r="AM470" s="1294"/>
      <c r="AN470" s="1294"/>
      <c r="AO470" s="1294"/>
      <c r="AP470" s="1294"/>
      <c r="AQ470" s="1294">
        <f>T471*45%</f>
        <v>101250</v>
      </c>
      <c r="AR470" s="1294">
        <f t="shared" si="453"/>
        <v>0</v>
      </c>
      <c r="AS470" s="1136">
        <f>SUM(W476:W477)</f>
        <v>16140</v>
      </c>
      <c r="AT470" s="668">
        <f t="shared" si="484"/>
        <v>-33000</v>
      </c>
      <c r="AU470" s="463">
        <f>SUM(W476:W477)</f>
        <v>16140</v>
      </c>
      <c r="AV470" s="468">
        <f t="shared" si="485"/>
        <v>-33000</v>
      </c>
      <c r="AW470" s="468">
        <f t="shared" si="483"/>
        <v>70000</v>
      </c>
      <c r="AX470" s="463"/>
      <c r="AY470" s="463"/>
      <c r="AZ470" s="463"/>
      <c r="BA470" s="463"/>
      <c r="BB470" s="463"/>
      <c r="BC470" s="437">
        <f>T476+U476+V476+-W477</f>
        <v>-1860</v>
      </c>
      <c r="BD470" s="437"/>
      <c r="BE470">
        <f t="shared" si="482"/>
        <v>3.8594594594594591</v>
      </c>
      <c r="BF470" s="437">
        <f t="shared" si="481"/>
        <v>-132.7476833976834</v>
      </c>
      <c r="BG470" s="209">
        <f>SUM(W476:W477)</f>
        <v>16140</v>
      </c>
    </row>
    <row r="471" spans="1:59" ht="39" customHeight="1">
      <c r="A471" s="1621"/>
      <c r="B471" s="1622"/>
      <c r="C471" s="1622"/>
      <c r="D471" s="1373">
        <v>111</v>
      </c>
      <c r="E471" s="1383"/>
      <c r="F471" s="1805" t="s">
        <v>209</v>
      </c>
      <c r="G471" s="1845" t="s">
        <v>210</v>
      </c>
      <c r="H471" s="1575">
        <v>178000</v>
      </c>
      <c r="I471" s="1380"/>
      <c r="J471" s="1380"/>
      <c r="K471" s="1374">
        <v>178000</v>
      </c>
      <c r="L471" s="1692">
        <v>185000</v>
      </c>
      <c r="M471" s="1303"/>
      <c r="N471" s="1304"/>
      <c r="O471" s="1375">
        <f>SUM(L471:N471)</f>
        <v>185000</v>
      </c>
      <c r="P471" s="1577">
        <v>225000</v>
      </c>
      <c r="Q471" s="1303"/>
      <c r="R471" s="1304"/>
      <c r="S471" s="1375">
        <f>SUM(P471:R471)</f>
        <v>225000</v>
      </c>
      <c r="T471" s="1577">
        <v>225000</v>
      </c>
      <c r="U471" s="1303"/>
      <c r="V471" s="1304"/>
      <c r="W471" s="1375">
        <f>SUM(T471:V471)</f>
        <v>225000</v>
      </c>
      <c r="X471" s="1578">
        <f t="shared" si="475"/>
        <v>121.62162162162163</v>
      </c>
      <c r="Y471" s="2457"/>
      <c r="Z471" s="1136"/>
      <c r="AA471" s="1136"/>
      <c r="AB471" s="1293">
        <f t="shared" si="468"/>
        <v>0</v>
      </c>
      <c r="AC471" s="1293">
        <f t="shared" si="470"/>
        <v>0</v>
      </c>
      <c r="AD471" s="1293">
        <f t="shared" si="476"/>
        <v>40000</v>
      </c>
      <c r="AE471" s="1293">
        <f t="shared" si="469"/>
        <v>0</v>
      </c>
      <c r="AF471" s="1294"/>
      <c r="AG471" s="1294"/>
      <c r="AH471" s="1294">
        <f t="shared" si="471"/>
        <v>40000</v>
      </c>
      <c r="AI471" s="1294">
        <f t="shared" si="460"/>
        <v>0</v>
      </c>
      <c r="AJ471" s="1293">
        <f t="shared" si="477"/>
        <v>0</v>
      </c>
      <c r="AK471" s="1294"/>
      <c r="AL471" s="1294"/>
      <c r="AM471" s="1294"/>
      <c r="AN471" s="1294"/>
      <c r="AO471" s="1294"/>
      <c r="AP471" s="1294"/>
      <c r="AQ471" s="1294"/>
      <c r="AR471" s="1294">
        <f t="shared" si="453"/>
        <v>0</v>
      </c>
      <c r="AS471" s="1136"/>
      <c r="AT471" s="668">
        <f t="shared" si="484"/>
        <v>29860</v>
      </c>
      <c r="AU471" s="674" t="s">
        <v>1561</v>
      </c>
      <c r="AV471" s="468">
        <f t="shared" si="485"/>
        <v>29860</v>
      </c>
      <c r="AW471" s="468">
        <f t="shared" si="483"/>
        <v>-22720</v>
      </c>
      <c r="AX471" s="272"/>
      <c r="AY471" s="272"/>
      <c r="AZ471" s="272"/>
      <c r="BA471" s="272"/>
      <c r="BB471" s="272"/>
      <c r="BC471" s="437">
        <f>'[2]PRIH REBALANS'!$AK$1101</f>
        <v>33200</v>
      </c>
      <c r="BD471" s="437"/>
      <c r="BE471">
        <f t="shared" si="482"/>
        <v>10.843373493975903</v>
      </c>
      <c r="BF471" s="437">
        <f t="shared" si="481"/>
        <v>-125.76376936316696</v>
      </c>
    </row>
    <row r="472" spans="1:59" ht="39" customHeight="1">
      <c r="A472" s="1621"/>
      <c r="B472" s="1622"/>
      <c r="C472" s="1622"/>
      <c r="D472" s="1373">
        <v>111</v>
      </c>
      <c r="E472" s="1383" t="s">
        <v>206</v>
      </c>
      <c r="F472" s="1805" t="s">
        <v>211</v>
      </c>
      <c r="G472" s="1849" t="s">
        <v>212</v>
      </c>
      <c r="H472" s="1575">
        <v>79000</v>
      </c>
      <c r="I472" s="1380"/>
      <c r="J472" s="1380"/>
      <c r="K472" s="1374">
        <v>79000</v>
      </c>
      <c r="L472" s="1623">
        <v>83000</v>
      </c>
      <c r="M472" s="1303"/>
      <c r="N472" s="1304"/>
      <c r="O472" s="1375">
        <f>SUM(L472:N472)</f>
        <v>83000</v>
      </c>
      <c r="P472" s="1577">
        <v>101250</v>
      </c>
      <c r="Q472" s="1303"/>
      <c r="R472" s="1304"/>
      <c r="S472" s="1375">
        <f>SUM(P472:R472)</f>
        <v>101250</v>
      </c>
      <c r="T472" s="1577">
        <v>101250</v>
      </c>
      <c r="U472" s="1303"/>
      <c r="V472" s="1304"/>
      <c r="W472" s="1375">
        <f>SUM(T472:V472)</f>
        <v>101250</v>
      </c>
      <c r="X472" s="1578">
        <f t="shared" si="475"/>
        <v>121.98795180722892</v>
      </c>
      <c r="Y472" s="2457"/>
      <c r="Z472" s="1136"/>
      <c r="AA472" s="1136"/>
      <c r="AB472" s="1293">
        <f t="shared" si="468"/>
        <v>0</v>
      </c>
      <c r="AC472" s="1293">
        <f t="shared" si="470"/>
        <v>0</v>
      </c>
      <c r="AD472" s="1293">
        <f t="shared" si="476"/>
        <v>18250</v>
      </c>
      <c r="AE472" s="1293">
        <f t="shared" si="469"/>
        <v>0</v>
      </c>
      <c r="AF472" s="1294"/>
      <c r="AG472" s="1294"/>
      <c r="AH472" s="1294">
        <f t="shared" si="471"/>
        <v>18250</v>
      </c>
      <c r="AI472" s="1294">
        <f t="shared" si="460"/>
        <v>0</v>
      </c>
      <c r="AJ472" s="1293">
        <f t="shared" si="477"/>
        <v>0</v>
      </c>
      <c r="AK472" s="1294"/>
      <c r="AL472" s="1294"/>
      <c r="AM472" s="1294"/>
      <c r="AN472" s="1294"/>
      <c r="AO472" s="1294"/>
      <c r="AP472" s="1294"/>
      <c r="AQ472" s="1294"/>
      <c r="AR472" s="1294">
        <f t="shared" ref="AR472:AR503" si="488">T472+U472+V472-W472</f>
        <v>0</v>
      </c>
      <c r="AS472" s="1136"/>
      <c r="AT472" s="668">
        <f t="shared" si="484"/>
        <v>-1860</v>
      </c>
      <c r="AU472" s="463"/>
      <c r="AV472" s="468">
        <f t="shared" si="485"/>
        <v>-1860</v>
      </c>
      <c r="AW472" s="468">
        <f t="shared" si="483"/>
        <v>10860</v>
      </c>
      <c r="AX472" s="272"/>
      <c r="AY472" s="272"/>
      <c r="AZ472" s="272"/>
      <c r="BA472" s="272"/>
      <c r="BB472" s="272"/>
      <c r="BC472" s="437">
        <f>T478+U478+V478+-W479</f>
        <v>0</v>
      </c>
      <c r="BD472" s="437"/>
      <c r="BE472">
        <f t="shared" si="482"/>
        <v>115.21084337349396</v>
      </c>
      <c r="BF472" s="437">
        <f t="shared" si="481"/>
        <v>13.994298361328504</v>
      </c>
    </row>
    <row r="473" spans="1:59" ht="39" customHeight="1">
      <c r="A473" s="1621"/>
      <c r="B473" s="1622"/>
      <c r="C473" s="1622"/>
      <c r="D473" s="1373">
        <v>111</v>
      </c>
      <c r="E473" s="1383"/>
      <c r="F473" s="1826">
        <v>611200</v>
      </c>
      <c r="G473" s="1874" t="s">
        <v>213</v>
      </c>
      <c r="H473" s="1380">
        <f>SUM(H474:H477)</f>
        <v>29200</v>
      </c>
      <c r="I473" s="1380"/>
      <c r="J473" s="1380"/>
      <c r="K473" s="1381">
        <f>SUM(K474:K477)</f>
        <v>29200</v>
      </c>
      <c r="L473" s="1601">
        <f>SUM(L474:L477)</f>
        <v>33200</v>
      </c>
      <c r="M473" s="1303"/>
      <c r="N473" s="1304"/>
      <c r="O473" s="1336">
        <f>SUM(O474:O477)</f>
        <v>33200</v>
      </c>
      <c r="P473" s="1601">
        <f>SUM(P474:P477)</f>
        <v>57140</v>
      </c>
      <c r="Q473" s="1303"/>
      <c r="R473" s="1304"/>
      <c r="S473" s="1336">
        <f>SUM(S474:S477)</f>
        <v>57140</v>
      </c>
      <c r="T473" s="1601">
        <f>SUM(T474:T477)</f>
        <v>57140</v>
      </c>
      <c r="U473" s="1303"/>
      <c r="V473" s="1304"/>
      <c r="W473" s="1316">
        <f>SUM(W474:W477)</f>
        <v>57140</v>
      </c>
      <c r="X473" s="1578">
        <f t="shared" si="475"/>
        <v>172.10843373493975</v>
      </c>
      <c r="Y473" s="2457">
        <f>'[1]PRIH REBALANS'!$AK$1089</f>
        <v>57140</v>
      </c>
      <c r="Z473" s="1136"/>
      <c r="AA473" s="1136"/>
      <c r="AB473" s="1293">
        <f t="shared" si="468"/>
        <v>0</v>
      </c>
      <c r="AC473" s="1293">
        <f t="shared" si="470"/>
        <v>0</v>
      </c>
      <c r="AD473" s="1293">
        <f t="shared" si="476"/>
        <v>23940</v>
      </c>
      <c r="AE473" s="1293">
        <f t="shared" si="469"/>
        <v>0</v>
      </c>
      <c r="AF473" s="1294"/>
      <c r="AG473" s="1294"/>
      <c r="AH473" s="1294">
        <f t="shared" si="471"/>
        <v>23940</v>
      </c>
      <c r="AI473" s="1294">
        <f t="shared" si="460"/>
        <v>0</v>
      </c>
      <c r="AJ473" s="1293">
        <f t="shared" si="477"/>
        <v>0</v>
      </c>
      <c r="AK473" s="1294"/>
      <c r="AL473" s="1294"/>
      <c r="AM473" s="1294"/>
      <c r="AN473" s="1294"/>
      <c r="AO473" s="1294"/>
      <c r="AP473" s="1294"/>
      <c r="AQ473" s="1294">
        <f>SUM(W474:W477)</f>
        <v>57140</v>
      </c>
      <c r="AR473" s="1294">
        <f t="shared" si="488"/>
        <v>0</v>
      </c>
      <c r="AS473" s="1136">
        <f>SUM(W479:W482)</f>
        <v>88350</v>
      </c>
      <c r="AT473" s="668">
        <f t="shared" si="484"/>
        <v>-29250</v>
      </c>
      <c r="AU473" s="463">
        <f>SUM(W479:W482)</f>
        <v>88350</v>
      </c>
      <c r="AV473" s="468">
        <f t="shared" si="485"/>
        <v>-29250</v>
      </c>
      <c r="AW473" s="468">
        <f t="shared" si="483"/>
        <v>67500</v>
      </c>
      <c r="AX473" s="272"/>
      <c r="AY473" s="272"/>
      <c r="AZ473" s="272"/>
      <c r="BA473" s="272"/>
      <c r="BB473" s="272"/>
      <c r="BC473" s="437">
        <f>T479+U479+V479+-W480</f>
        <v>-3350</v>
      </c>
      <c r="BD473" s="437"/>
      <c r="BE473">
        <f t="shared" si="482"/>
        <v>1738.6363636363637</v>
      </c>
      <c r="BF473" s="437">
        <f t="shared" si="481"/>
        <v>1638.6363636363637</v>
      </c>
      <c r="BG473" s="209">
        <f>SUM(W480:W482,W479)</f>
        <v>88350</v>
      </c>
    </row>
    <row r="474" spans="1:59" ht="39" customHeight="1">
      <c r="A474" s="1621"/>
      <c r="B474" s="1622"/>
      <c r="C474" s="1622"/>
      <c r="D474" s="1373">
        <v>111</v>
      </c>
      <c r="E474" s="1383"/>
      <c r="F474" s="1827">
        <v>611211</v>
      </c>
      <c r="G474" s="1875" t="s">
        <v>740</v>
      </c>
      <c r="H474" s="1575">
        <v>2400</v>
      </c>
      <c r="I474" s="1380"/>
      <c r="J474" s="1380"/>
      <c r="K474" s="1374">
        <v>2400</v>
      </c>
      <c r="L474" s="1623">
        <v>2200</v>
      </c>
      <c r="M474" s="1303"/>
      <c r="N474" s="1304"/>
      <c r="O474" s="1375">
        <f>SUM(L474:N474)</f>
        <v>2200</v>
      </c>
      <c r="P474" s="1577">
        <v>4000</v>
      </c>
      <c r="Q474" s="1303"/>
      <c r="R474" s="1304"/>
      <c r="S474" s="1375">
        <f>SUM(P474:R474)</f>
        <v>4000</v>
      </c>
      <c r="T474" s="1577">
        <v>4000</v>
      </c>
      <c r="U474" s="1303"/>
      <c r="V474" s="1304"/>
      <c r="W474" s="1375">
        <f>SUM(T474:V474)</f>
        <v>4000</v>
      </c>
      <c r="X474" s="1578">
        <f t="shared" si="475"/>
        <v>181.81818181818181</v>
      </c>
      <c r="Y474" s="2457"/>
      <c r="Z474" s="1136"/>
      <c r="AA474" s="1136"/>
      <c r="AB474" s="1293">
        <f t="shared" si="468"/>
        <v>0</v>
      </c>
      <c r="AC474" s="1293">
        <f t="shared" si="470"/>
        <v>0</v>
      </c>
      <c r="AD474" s="1293">
        <f t="shared" si="476"/>
        <v>1800</v>
      </c>
      <c r="AE474" s="1293">
        <f t="shared" si="469"/>
        <v>0</v>
      </c>
      <c r="AF474" s="1294"/>
      <c r="AG474" s="1294"/>
      <c r="AH474" s="1294">
        <f t="shared" si="471"/>
        <v>1800</v>
      </c>
      <c r="AI474" s="1294">
        <f t="shared" si="460"/>
        <v>0</v>
      </c>
      <c r="AJ474" s="1293">
        <f t="shared" si="477"/>
        <v>0</v>
      </c>
      <c r="AK474" s="1294"/>
      <c r="AL474" s="1294"/>
      <c r="AM474" s="1294"/>
      <c r="AN474" s="1294"/>
      <c r="AO474" s="1294"/>
      <c r="AP474" s="1294"/>
      <c r="AQ474" s="1294"/>
      <c r="AR474" s="1294">
        <f t="shared" si="488"/>
        <v>0</v>
      </c>
      <c r="AS474" s="1136"/>
      <c r="AT474" s="668">
        <f t="shared" si="484"/>
        <v>0</v>
      </c>
      <c r="AU474" s="463"/>
      <c r="AV474" s="468">
        <f t="shared" si="485"/>
        <v>0</v>
      </c>
      <c r="AW474" s="468">
        <f t="shared" si="483"/>
        <v>38250</v>
      </c>
      <c r="AX474" s="272"/>
      <c r="AY474" s="272"/>
      <c r="AZ474" s="272"/>
      <c r="BA474" s="272"/>
      <c r="BB474" s="272"/>
      <c r="BC474" s="437">
        <f>T480+U480+V480+-W481</f>
        <v>38100</v>
      </c>
      <c r="BD474" s="437"/>
      <c r="BE474">
        <f t="shared" si="482"/>
        <v>231.11111111111109</v>
      </c>
      <c r="BF474" s="437">
        <f t="shared" si="481"/>
        <v>131.11111111111109</v>
      </c>
    </row>
    <row r="475" spans="1:59" ht="39" customHeight="1">
      <c r="A475" s="1621"/>
      <c r="B475" s="1622"/>
      <c r="C475" s="1622"/>
      <c r="D475" s="1373">
        <v>111</v>
      </c>
      <c r="E475" s="1383" t="s">
        <v>206</v>
      </c>
      <c r="F475" s="1827">
        <v>611221</v>
      </c>
      <c r="G475" s="1875" t="s">
        <v>661</v>
      </c>
      <c r="H475" s="1575">
        <v>17000</v>
      </c>
      <c r="I475" s="1380"/>
      <c r="J475" s="1380"/>
      <c r="K475" s="1374">
        <v>17000</v>
      </c>
      <c r="L475" s="1623">
        <v>18000</v>
      </c>
      <c r="M475" s="1303"/>
      <c r="N475" s="1304"/>
      <c r="O475" s="1375">
        <f t="shared" ref="O475:O477" si="489">SUM(L475:N475)</f>
        <v>18000</v>
      </c>
      <c r="P475" s="1577">
        <v>37000</v>
      </c>
      <c r="Q475" s="1303"/>
      <c r="R475" s="1304"/>
      <c r="S475" s="1375">
        <f>SUM(P475:R475)</f>
        <v>37000</v>
      </c>
      <c r="T475" s="1577">
        <v>37000</v>
      </c>
      <c r="U475" s="1303"/>
      <c r="V475" s="1304"/>
      <c r="W475" s="1375">
        <f t="shared" ref="W475:W477" si="490">SUM(T475:V475)</f>
        <v>37000</v>
      </c>
      <c r="X475" s="1578">
        <f t="shared" si="475"/>
        <v>205.55555555555554</v>
      </c>
      <c r="Y475" s="2457"/>
      <c r="Z475" s="1136"/>
      <c r="AA475" s="1136"/>
      <c r="AB475" s="1293">
        <f t="shared" si="468"/>
        <v>0</v>
      </c>
      <c r="AC475" s="1293">
        <f t="shared" si="470"/>
        <v>0</v>
      </c>
      <c r="AD475" s="1293">
        <f t="shared" si="476"/>
        <v>19000</v>
      </c>
      <c r="AE475" s="1293">
        <f t="shared" si="469"/>
        <v>0</v>
      </c>
      <c r="AF475" s="1294"/>
      <c r="AG475" s="1294"/>
      <c r="AH475" s="1294">
        <f t="shared" si="471"/>
        <v>19000</v>
      </c>
      <c r="AI475" s="1294">
        <f t="shared" si="460"/>
        <v>0</v>
      </c>
      <c r="AJ475" s="1293">
        <f t="shared" si="477"/>
        <v>0</v>
      </c>
      <c r="AK475" s="1294"/>
      <c r="AL475" s="1294"/>
      <c r="AM475" s="1294"/>
      <c r="AN475" s="1294"/>
      <c r="AO475" s="1294"/>
      <c r="AP475" s="1294"/>
      <c r="AQ475" s="1294"/>
      <c r="AR475" s="1294">
        <f t="shared" si="488"/>
        <v>0</v>
      </c>
      <c r="AS475" s="1136"/>
      <c r="AT475" s="668">
        <f t="shared" si="484"/>
        <v>-3350</v>
      </c>
      <c r="AU475" s="463"/>
      <c r="AV475" s="468">
        <f t="shared" si="485"/>
        <v>-3350</v>
      </c>
      <c r="AW475" s="468">
        <f t="shared" si="483"/>
        <v>44950</v>
      </c>
      <c r="AX475" s="272"/>
      <c r="AY475" s="272"/>
      <c r="AZ475" s="272"/>
      <c r="BA475" s="272"/>
      <c r="BB475" s="272"/>
      <c r="BC475" s="437">
        <f>T481+U481+V481+-W482</f>
        <v>-1500</v>
      </c>
      <c r="BD475" s="437"/>
      <c r="BE475">
        <f t="shared" si="482"/>
        <v>87.5</v>
      </c>
      <c r="BF475" s="437">
        <f t="shared" si="481"/>
        <v>-12.5</v>
      </c>
    </row>
    <row r="476" spans="1:59" ht="39" customHeight="1">
      <c r="A476" s="1621"/>
      <c r="B476" s="1622"/>
      <c r="C476" s="1622"/>
      <c r="D476" s="1373">
        <v>111</v>
      </c>
      <c r="E476" s="1383"/>
      <c r="F476" s="1827">
        <v>611224</v>
      </c>
      <c r="G476" s="1875" t="s">
        <v>214</v>
      </c>
      <c r="H476" s="1575">
        <v>3800</v>
      </c>
      <c r="I476" s="1380"/>
      <c r="J476" s="1380"/>
      <c r="K476" s="1374">
        <v>3800</v>
      </c>
      <c r="L476" s="1623">
        <v>4000</v>
      </c>
      <c r="M476" s="1303"/>
      <c r="N476" s="1304"/>
      <c r="O476" s="1375">
        <f t="shared" si="489"/>
        <v>4000</v>
      </c>
      <c r="P476" s="1577">
        <v>7140</v>
      </c>
      <c r="Q476" s="1303"/>
      <c r="R476" s="1304"/>
      <c r="S476" s="1375">
        <f>SUM(P476:R476)</f>
        <v>7140</v>
      </c>
      <c r="T476" s="1577">
        <v>7140</v>
      </c>
      <c r="U476" s="1303"/>
      <c r="V476" s="1304"/>
      <c r="W476" s="1375">
        <f t="shared" si="490"/>
        <v>7140</v>
      </c>
      <c r="X476" s="1578">
        <f t="shared" si="475"/>
        <v>178.5</v>
      </c>
      <c r="Y476" s="2457"/>
      <c r="Z476" s="1136"/>
      <c r="AA476" s="1136"/>
      <c r="AB476" s="1293">
        <f t="shared" si="468"/>
        <v>0</v>
      </c>
      <c r="AC476" s="1293">
        <f t="shared" si="470"/>
        <v>0</v>
      </c>
      <c r="AD476" s="1293">
        <f t="shared" si="476"/>
        <v>3140</v>
      </c>
      <c r="AE476" s="1293">
        <f t="shared" si="469"/>
        <v>0</v>
      </c>
      <c r="AF476" s="1294"/>
      <c r="AG476" s="1294"/>
      <c r="AH476" s="1294">
        <f t="shared" si="471"/>
        <v>3140</v>
      </c>
      <c r="AI476" s="1294">
        <f t="shared" si="460"/>
        <v>0</v>
      </c>
      <c r="AJ476" s="1293">
        <f t="shared" si="477"/>
        <v>0</v>
      </c>
      <c r="AK476" s="1294"/>
      <c r="AL476" s="1294"/>
      <c r="AM476" s="1294"/>
      <c r="AN476" s="1294"/>
      <c r="AO476" s="1294"/>
      <c r="AP476" s="1294"/>
      <c r="AQ476" s="1294"/>
      <c r="AR476" s="1294">
        <f t="shared" si="488"/>
        <v>0</v>
      </c>
      <c r="AS476" s="1136"/>
      <c r="AT476" s="668">
        <f t="shared" si="484"/>
        <v>38100</v>
      </c>
      <c r="AU476" s="463"/>
      <c r="AV476" s="468">
        <f t="shared" si="485"/>
        <v>38100</v>
      </c>
      <c r="AW476" s="468">
        <f t="shared" si="483"/>
        <v>-34600</v>
      </c>
      <c r="AX476" s="272"/>
      <c r="AY476" s="272"/>
      <c r="AZ476" s="272"/>
      <c r="BA476" s="272"/>
      <c r="BB476" s="272"/>
      <c r="BC476" s="437">
        <f>'[2]PRIH REBALANS'!$AK$1106</f>
        <v>28000</v>
      </c>
      <c r="BD476" s="437"/>
      <c r="BE476">
        <f t="shared" si="482"/>
        <v>55.555555555555557</v>
      </c>
      <c r="BF476" s="437">
        <f t="shared" si="481"/>
        <v>-44.444444444444443</v>
      </c>
    </row>
    <row r="477" spans="1:59" ht="39" customHeight="1">
      <c r="A477" s="1621"/>
      <c r="B477" s="1622"/>
      <c r="C477" s="1622"/>
      <c r="D477" s="1373">
        <v>111</v>
      </c>
      <c r="E477" s="1383"/>
      <c r="F477" s="1827">
        <v>611227</v>
      </c>
      <c r="G477" s="1875" t="s">
        <v>215</v>
      </c>
      <c r="H477" s="1575">
        <v>6000</v>
      </c>
      <c r="I477" s="1380"/>
      <c r="J477" s="1380"/>
      <c r="K477" s="1374">
        <v>6000</v>
      </c>
      <c r="L477" s="1623">
        <v>9000</v>
      </c>
      <c r="M477" s="1303"/>
      <c r="N477" s="1304"/>
      <c r="O477" s="1375">
        <f t="shared" si="489"/>
        <v>9000</v>
      </c>
      <c r="P477" s="1577">
        <v>9000</v>
      </c>
      <c r="Q477" s="1303"/>
      <c r="R477" s="1304"/>
      <c r="S477" s="1375">
        <f>SUM(P477:R477)</f>
        <v>9000</v>
      </c>
      <c r="T477" s="1577">
        <v>9000</v>
      </c>
      <c r="U477" s="1303"/>
      <c r="V477" s="1304"/>
      <c r="W477" s="1375">
        <f t="shared" si="490"/>
        <v>9000</v>
      </c>
      <c r="X477" s="1578">
        <f t="shared" si="475"/>
        <v>100</v>
      </c>
      <c r="Y477" s="2457"/>
      <c r="Z477" s="1136"/>
      <c r="AA477" s="1136"/>
      <c r="AB477" s="1293">
        <f t="shared" si="468"/>
        <v>0</v>
      </c>
      <c r="AC477" s="1293">
        <f t="shared" si="470"/>
        <v>0</v>
      </c>
      <c r="AD477" s="1293">
        <f t="shared" si="476"/>
        <v>0</v>
      </c>
      <c r="AE477" s="1293">
        <f t="shared" si="469"/>
        <v>0</v>
      </c>
      <c r="AF477" s="1294"/>
      <c r="AG477" s="1294"/>
      <c r="AH477" s="1294">
        <f t="shared" si="471"/>
        <v>0</v>
      </c>
      <c r="AI477" s="1294">
        <f t="shared" si="460"/>
        <v>0</v>
      </c>
      <c r="AJ477" s="1293">
        <f t="shared" si="477"/>
        <v>0</v>
      </c>
      <c r="AK477" s="1294"/>
      <c r="AL477" s="1294"/>
      <c r="AM477" s="1294"/>
      <c r="AN477" s="1294"/>
      <c r="AO477" s="1294"/>
      <c r="AP477" s="1294"/>
      <c r="AQ477" s="1294"/>
      <c r="AR477" s="1294">
        <f t="shared" si="488"/>
        <v>0</v>
      </c>
      <c r="AS477" s="1136"/>
      <c r="AT477" s="668">
        <f t="shared" si="484"/>
        <v>-1500</v>
      </c>
      <c r="AU477" s="463"/>
      <c r="AV477" s="468">
        <f t="shared" si="485"/>
        <v>-1500</v>
      </c>
      <c r="AW477" s="468">
        <f t="shared" si="483"/>
        <v>6500</v>
      </c>
      <c r="AX477" s="272"/>
      <c r="AY477" s="272"/>
      <c r="AZ477" s="272"/>
      <c r="BA477" s="272"/>
      <c r="BB477" s="272"/>
      <c r="BC477" s="437">
        <f t="shared" ref="BC477:BC508" si="491">T483+U483+V483+-W484</f>
        <v>1000</v>
      </c>
      <c r="BD477" s="437"/>
      <c r="BE477">
        <f t="shared" si="482"/>
        <v>28.571428571428569</v>
      </c>
      <c r="BF477" s="437">
        <f t="shared" si="481"/>
        <v>-71.428571428571431</v>
      </c>
    </row>
    <row r="478" spans="1:59" ht="39" customHeight="1">
      <c r="A478" s="1621"/>
      <c r="B478" s="1622"/>
      <c r="C478" s="1622"/>
      <c r="D478" s="1373">
        <v>111</v>
      </c>
      <c r="E478" s="1383"/>
      <c r="F478" s="1826">
        <v>612000</v>
      </c>
      <c r="G478" s="1874" t="s">
        <v>216</v>
      </c>
      <c r="H478" s="1380">
        <f>SUM(H479)</f>
        <v>29000</v>
      </c>
      <c r="I478" s="1380"/>
      <c r="J478" s="1380"/>
      <c r="K478" s="1381">
        <f>SUM(K479)</f>
        <v>29000</v>
      </c>
      <c r="L478" s="1601">
        <f>SUM(L479)</f>
        <v>28000</v>
      </c>
      <c r="M478" s="1303"/>
      <c r="N478" s="1304"/>
      <c r="O478" s="1336">
        <f>SUM(O479)</f>
        <v>28000</v>
      </c>
      <c r="P478" s="1601">
        <f>SUM(P479)</f>
        <v>38250</v>
      </c>
      <c r="Q478" s="1303"/>
      <c r="R478" s="1304"/>
      <c r="S478" s="1336">
        <f>SUM(S479)</f>
        <v>38250</v>
      </c>
      <c r="T478" s="1601">
        <f>SUM(T479)</f>
        <v>38250</v>
      </c>
      <c r="U478" s="1303"/>
      <c r="V478" s="1304"/>
      <c r="W478" s="1316">
        <f>SUM(W479)</f>
        <v>38250</v>
      </c>
      <c r="X478" s="1578">
        <f t="shared" si="475"/>
        <v>136.60714285714286</v>
      </c>
      <c r="Y478" s="2457">
        <f>'[1]PRIH REBALANS'!$AK$1094</f>
        <v>38250</v>
      </c>
      <c r="Z478" s="1136"/>
      <c r="AA478" s="1136"/>
      <c r="AB478" s="1293">
        <f t="shared" si="468"/>
        <v>0</v>
      </c>
      <c r="AC478" s="1293">
        <f t="shared" si="470"/>
        <v>0</v>
      </c>
      <c r="AD478" s="1293">
        <f t="shared" si="476"/>
        <v>10250</v>
      </c>
      <c r="AE478" s="1293">
        <f t="shared" si="469"/>
        <v>0</v>
      </c>
      <c r="AF478" s="1294"/>
      <c r="AG478" s="1294"/>
      <c r="AH478" s="1294">
        <f t="shared" si="471"/>
        <v>10250</v>
      </c>
      <c r="AI478" s="1294">
        <f t="shared" ref="AI478:AI509" si="492">T478+U478+V478-W478</f>
        <v>0</v>
      </c>
      <c r="AJ478" s="1293">
        <f t="shared" si="477"/>
        <v>0</v>
      </c>
      <c r="AK478" s="1294"/>
      <c r="AL478" s="1294"/>
      <c r="AM478" s="1294"/>
      <c r="AN478" s="1294"/>
      <c r="AO478" s="1294"/>
      <c r="AP478" s="1294"/>
      <c r="AQ478" s="1294">
        <f>W479</f>
        <v>38250</v>
      </c>
      <c r="AR478" s="1294">
        <f t="shared" si="488"/>
        <v>0</v>
      </c>
      <c r="AS478" s="1136">
        <f>W484</f>
        <v>7000</v>
      </c>
      <c r="AT478" s="668">
        <f t="shared" si="484"/>
        <v>-3000</v>
      </c>
      <c r="AU478" s="463">
        <f>W484</f>
        <v>7000</v>
      </c>
      <c r="AV478" s="468">
        <f t="shared" si="485"/>
        <v>-3000</v>
      </c>
      <c r="AW478" s="468">
        <f t="shared" si="483"/>
        <v>11000</v>
      </c>
      <c r="AX478" s="463"/>
      <c r="AY478" s="463"/>
      <c r="AZ478" s="463"/>
      <c r="BA478" s="463"/>
      <c r="BB478" s="463"/>
      <c r="BC478" s="437">
        <f t="shared" si="491"/>
        <v>5000</v>
      </c>
      <c r="BD478" s="437"/>
      <c r="BE478">
        <f t="shared" si="482"/>
        <v>25</v>
      </c>
      <c r="BF478" s="437">
        <f t="shared" si="481"/>
        <v>-75</v>
      </c>
      <c r="BG478" s="209">
        <f>SUM(W484)</f>
        <v>7000</v>
      </c>
    </row>
    <row r="479" spans="1:59" ht="39" customHeight="1">
      <c r="A479" s="1621"/>
      <c r="B479" s="1622"/>
      <c r="C479" s="1622"/>
      <c r="D479" s="1373">
        <v>111</v>
      </c>
      <c r="E479" s="1383"/>
      <c r="F479" s="1827">
        <v>612100</v>
      </c>
      <c r="G479" s="1875" t="s">
        <v>216</v>
      </c>
      <c r="H479" s="1575">
        <v>29000</v>
      </c>
      <c r="I479" s="1380"/>
      <c r="J479" s="1380"/>
      <c r="K479" s="1374">
        <v>29000</v>
      </c>
      <c r="L479" s="1623">
        <v>28000</v>
      </c>
      <c r="M479" s="1303"/>
      <c r="N479" s="1304"/>
      <c r="O479" s="1375">
        <f>SUM(L479:N479)</f>
        <v>28000</v>
      </c>
      <c r="P479" s="1577">
        <v>38250</v>
      </c>
      <c r="Q479" s="1303"/>
      <c r="R479" s="1304"/>
      <c r="S479" s="1375">
        <f>SUM(P479:R479)</f>
        <v>38250</v>
      </c>
      <c r="T479" s="1577">
        <v>38250</v>
      </c>
      <c r="U479" s="1303"/>
      <c r="V479" s="1304"/>
      <c r="W479" s="1375">
        <f>SUM(T479:V479)</f>
        <v>38250</v>
      </c>
      <c r="X479" s="1578">
        <f t="shared" si="475"/>
        <v>136.60714285714286</v>
      </c>
      <c r="Y479" s="2457"/>
      <c r="Z479" s="1136"/>
      <c r="AA479" s="1136"/>
      <c r="AB479" s="1293">
        <f t="shared" si="468"/>
        <v>0</v>
      </c>
      <c r="AC479" s="1293">
        <f t="shared" si="470"/>
        <v>0</v>
      </c>
      <c r="AD479" s="1293">
        <f t="shared" si="476"/>
        <v>10250</v>
      </c>
      <c r="AE479" s="1293">
        <f t="shared" si="469"/>
        <v>0</v>
      </c>
      <c r="AF479" s="1294"/>
      <c r="AG479" s="1294"/>
      <c r="AH479" s="1294">
        <f t="shared" si="471"/>
        <v>10250</v>
      </c>
      <c r="AI479" s="1294">
        <f t="shared" si="492"/>
        <v>0</v>
      </c>
      <c r="AJ479" s="1293">
        <f t="shared" si="477"/>
        <v>0</v>
      </c>
      <c r="AK479" s="1294"/>
      <c r="AL479" s="1294"/>
      <c r="AM479" s="1294"/>
      <c r="AN479" s="1294"/>
      <c r="AO479" s="1294"/>
      <c r="AP479" s="1294"/>
      <c r="AQ479" s="1294"/>
      <c r="AR479" s="1294">
        <f t="shared" si="488"/>
        <v>0</v>
      </c>
      <c r="AS479" s="1136"/>
      <c r="AT479" s="668">
        <f t="shared" si="484"/>
        <v>1000</v>
      </c>
      <c r="AU479" s="463"/>
      <c r="AV479" s="468">
        <f t="shared" si="485"/>
        <v>1000</v>
      </c>
      <c r="AW479" s="468">
        <f t="shared" si="483"/>
        <v>6000</v>
      </c>
      <c r="AX479" s="272"/>
      <c r="AY479" s="272"/>
      <c r="AZ479" s="272"/>
      <c r="BA479" s="272"/>
      <c r="BB479" s="272"/>
      <c r="BC479" s="437">
        <f t="shared" si="491"/>
        <v>-5000</v>
      </c>
      <c r="BD479" s="437"/>
      <c r="BE479">
        <f t="shared" si="482"/>
        <v>4.8661800486618008</v>
      </c>
      <c r="BF479" s="437">
        <f t="shared" si="481"/>
        <v>-100.9477734397103</v>
      </c>
    </row>
    <row r="480" spans="1:59" ht="39" customHeight="1">
      <c r="A480" s="1621"/>
      <c r="B480" s="1622"/>
      <c r="C480" s="1622"/>
      <c r="D480" s="1373">
        <v>111</v>
      </c>
      <c r="E480" s="1383" t="s">
        <v>206</v>
      </c>
      <c r="F480" s="1826">
        <v>613000</v>
      </c>
      <c r="G480" s="1874" t="s">
        <v>169</v>
      </c>
      <c r="H480" s="1380">
        <f>SUM(H481:H487)</f>
        <v>39100</v>
      </c>
      <c r="I480" s="1380"/>
      <c r="J480" s="1380"/>
      <c r="K480" s="1381">
        <f>SUM(K481:K487)</f>
        <v>39100</v>
      </c>
      <c r="L480" s="1601">
        <f>SUM(L481:L487)</f>
        <v>41100</v>
      </c>
      <c r="M480" s="1303"/>
      <c r="N480" s="1304"/>
      <c r="O480" s="1336">
        <f>SUM(O481:O487)</f>
        <v>41100</v>
      </c>
      <c r="P480" s="1601">
        <f>SUM(P481:P486:P487)</f>
        <v>41600</v>
      </c>
      <c r="Q480" s="1303"/>
      <c r="R480" s="1304"/>
      <c r="S480" s="1336">
        <f>SUM(S481:S486:S487)</f>
        <v>41600</v>
      </c>
      <c r="T480" s="1601">
        <f>SUM(T481:T486:T487)</f>
        <v>41600</v>
      </c>
      <c r="U480" s="1303"/>
      <c r="V480" s="1304"/>
      <c r="W480" s="1316">
        <f>SUM(W481:W486:W487)</f>
        <v>41600</v>
      </c>
      <c r="X480" s="1578">
        <f t="shared" si="475"/>
        <v>101.21654501216545</v>
      </c>
      <c r="Y480" s="2457">
        <f>'[1]PRIH REBALANS'!$AK$1096</f>
        <v>41600</v>
      </c>
      <c r="Z480" s="1136"/>
      <c r="AA480" s="1136"/>
      <c r="AB480" s="1293">
        <f t="shared" si="468"/>
        <v>0</v>
      </c>
      <c r="AC480" s="1293">
        <f t="shared" si="470"/>
        <v>0</v>
      </c>
      <c r="AD480" s="1293">
        <f t="shared" si="476"/>
        <v>500</v>
      </c>
      <c r="AE480" s="1293">
        <f t="shared" si="469"/>
        <v>0</v>
      </c>
      <c r="AF480" s="1294"/>
      <c r="AG480" s="1294"/>
      <c r="AH480" s="1294">
        <f t="shared" si="471"/>
        <v>500</v>
      </c>
      <c r="AI480" s="1294">
        <f t="shared" si="492"/>
        <v>0</v>
      </c>
      <c r="AJ480" s="1293">
        <f t="shared" si="477"/>
        <v>0</v>
      </c>
      <c r="AK480" s="1294"/>
      <c r="AL480" s="1294"/>
      <c r="AM480" s="1294"/>
      <c r="AN480" s="1294"/>
      <c r="AO480" s="1294"/>
      <c r="AP480" s="1294"/>
      <c r="AQ480" s="1294">
        <f>SUM(W481:W487)</f>
        <v>41600</v>
      </c>
      <c r="AR480" s="1294">
        <f t="shared" si="488"/>
        <v>0</v>
      </c>
      <c r="AS480" s="1136">
        <f>SUM(W486:W492)</f>
        <v>22700</v>
      </c>
      <c r="AT480" s="668">
        <f t="shared" si="484"/>
        <v>5000</v>
      </c>
      <c r="AU480" s="463">
        <f>SUM(W486:W492)</f>
        <v>22700</v>
      </c>
      <c r="AV480" s="468">
        <f t="shared" si="485"/>
        <v>5000</v>
      </c>
      <c r="AW480" s="468">
        <f t="shared" si="483"/>
        <v>-3000</v>
      </c>
      <c r="AX480" s="463"/>
      <c r="AY480" s="463"/>
      <c r="AZ480" s="463"/>
      <c r="BA480" s="463"/>
      <c r="BB480" s="463"/>
      <c r="BC480" s="437">
        <f t="shared" si="491"/>
        <v>-2100</v>
      </c>
      <c r="BD480" s="437"/>
      <c r="BE480">
        <f t="shared" si="482"/>
        <v>200</v>
      </c>
      <c r="BF480" s="437">
        <f t="shared" si="481"/>
        <v>100</v>
      </c>
      <c r="BG480" s="209">
        <f>SUM(W486:W491,W492)</f>
        <v>22700</v>
      </c>
    </row>
    <row r="481" spans="1:59" ht="39" customHeight="1">
      <c r="A481" s="1621"/>
      <c r="B481" s="1622"/>
      <c r="C481" s="1622"/>
      <c r="D481" s="1373">
        <v>111</v>
      </c>
      <c r="E481" s="1383"/>
      <c r="F481" s="1827">
        <v>613100</v>
      </c>
      <c r="G481" s="1875" t="s">
        <v>170</v>
      </c>
      <c r="H481" s="1575">
        <v>3500</v>
      </c>
      <c r="I481" s="1380"/>
      <c r="J481" s="1380"/>
      <c r="K481" s="1374">
        <v>3500</v>
      </c>
      <c r="L481" s="1577">
        <v>3500</v>
      </c>
      <c r="M481" s="1303"/>
      <c r="N481" s="1304"/>
      <c r="O481" s="1375">
        <f>SUM(L481:N481)</f>
        <v>3500</v>
      </c>
      <c r="P481" s="1577">
        <v>3500</v>
      </c>
      <c r="Q481" s="1303"/>
      <c r="R481" s="1304"/>
      <c r="S481" s="1375">
        <f t="shared" ref="S481:S486" si="493">SUM(P481:R481)</f>
        <v>3500</v>
      </c>
      <c r="T481" s="1577">
        <v>3500</v>
      </c>
      <c r="U481" s="1303"/>
      <c r="V481" s="1304"/>
      <c r="W481" s="1375">
        <f>SUM(T481:V481)</f>
        <v>3500</v>
      </c>
      <c r="X481" s="1578">
        <f t="shared" si="475"/>
        <v>100</v>
      </c>
      <c r="Y481" s="2457"/>
      <c r="Z481" s="1136"/>
      <c r="AA481" s="1136"/>
      <c r="AB481" s="1293">
        <f t="shared" si="468"/>
        <v>0</v>
      </c>
      <c r="AC481" s="1293">
        <f t="shared" si="470"/>
        <v>0</v>
      </c>
      <c r="AD481" s="1293">
        <f t="shared" si="476"/>
        <v>0</v>
      </c>
      <c r="AE481" s="1293">
        <f t="shared" si="469"/>
        <v>0</v>
      </c>
      <c r="AF481" s="1294"/>
      <c r="AG481" s="1294"/>
      <c r="AH481" s="1294">
        <f t="shared" si="471"/>
        <v>0</v>
      </c>
      <c r="AI481" s="1294">
        <f t="shared" si="492"/>
        <v>0</v>
      </c>
      <c r="AJ481" s="1293">
        <f t="shared" si="477"/>
        <v>0</v>
      </c>
      <c r="AK481" s="1294"/>
      <c r="AL481" s="1294"/>
      <c r="AM481" s="1294"/>
      <c r="AN481" s="1294"/>
      <c r="AO481" s="1294"/>
      <c r="AP481" s="1294"/>
      <c r="AQ481" s="1294"/>
      <c r="AR481" s="1294">
        <f t="shared" si="488"/>
        <v>0</v>
      </c>
      <c r="AS481" s="1136"/>
      <c r="AT481" s="668">
        <f t="shared" si="484"/>
        <v>-5000</v>
      </c>
      <c r="AU481" s="463"/>
      <c r="AV481" s="468">
        <f t="shared" si="485"/>
        <v>-5000</v>
      </c>
      <c r="AW481" s="468">
        <f t="shared" si="483"/>
        <v>12000</v>
      </c>
      <c r="AX481" s="272"/>
      <c r="AY481" s="272"/>
      <c r="AZ481" s="272"/>
      <c r="BA481" s="272"/>
      <c r="BB481" s="272"/>
      <c r="BC481" s="437">
        <f t="shared" si="491"/>
        <v>8100</v>
      </c>
      <c r="BD481" s="437"/>
      <c r="BE481">
        <f t="shared" si="482"/>
        <v>182</v>
      </c>
      <c r="BF481" s="437">
        <f t="shared" si="481"/>
        <v>82</v>
      </c>
    </row>
    <row r="482" spans="1:59" ht="39" customHeight="1">
      <c r="A482" s="1621"/>
      <c r="B482" s="1622"/>
      <c r="C482" s="1622"/>
      <c r="D482" s="1373">
        <v>111</v>
      </c>
      <c r="E482" s="1383" t="s">
        <v>206</v>
      </c>
      <c r="F482" s="1827">
        <v>613200</v>
      </c>
      <c r="G482" s="1875" t="s">
        <v>171</v>
      </c>
      <c r="H482" s="1575">
        <v>3000</v>
      </c>
      <c r="I482" s="1380"/>
      <c r="J482" s="1380"/>
      <c r="K482" s="1374">
        <v>3000</v>
      </c>
      <c r="L482" s="1577">
        <v>5000</v>
      </c>
      <c r="M482" s="1303"/>
      <c r="N482" s="1304"/>
      <c r="O482" s="1375">
        <f t="shared" ref="O482:O486" si="494">SUM(L482:N482)</f>
        <v>5000</v>
      </c>
      <c r="P482" s="1577">
        <v>5000</v>
      </c>
      <c r="Q482" s="1303"/>
      <c r="R482" s="1304"/>
      <c r="S482" s="1375">
        <f t="shared" si="493"/>
        <v>5000</v>
      </c>
      <c r="T482" s="1577">
        <v>5000</v>
      </c>
      <c r="U482" s="1303"/>
      <c r="V482" s="1304"/>
      <c r="W482" s="1375">
        <f t="shared" ref="W482:W486" si="495">SUM(T482:V482)</f>
        <v>5000</v>
      </c>
      <c r="X482" s="1578">
        <f t="shared" si="475"/>
        <v>100</v>
      </c>
      <c r="Y482" s="2457"/>
      <c r="Z482" s="1136"/>
      <c r="AA482" s="1136"/>
      <c r="AB482" s="1293">
        <f t="shared" si="468"/>
        <v>0</v>
      </c>
      <c r="AC482" s="1293">
        <f t="shared" si="470"/>
        <v>0</v>
      </c>
      <c r="AD482" s="1293">
        <f t="shared" si="476"/>
        <v>0</v>
      </c>
      <c r="AE482" s="1293">
        <f t="shared" si="469"/>
        <v>0</v>
      </c>
      <c r="AF482" s="1294"/>
      <c r="AG482" s="1294"/>
      <c r="AH482" s="1294">
        <f t="shared" si="471"/>
        <v>0</v>
      </c>
      <c r="AI482" s="1294">
        <f t="shared" si="492"/>
        <v>0</v>
      </c>
      <c r="AJ482" s="1293">
        <f t="shared" si="477"/>
        <v>0</v>
      </c>
      <c r="AK482" s="1294"/>
      <c r="AL482" s="1294"/>
      <c r="AM482" s="1294"/>
      <c r="AN482" s="1294"/>
      <c r="AO482" s="1294"/>
      <c r="AP482" s="1294"/>
      <c r="AQ482" s="1294"/>
      <c r="AR482" s="1294">
        <f t="shared" si="488"/>
        <v>0</v>
      </c>
      <c r="AS482" s="1136"/>
      <c r="AT482" s="668">
        <f t="shared" si="484"/>
        <v>-2100</v>
      </c>
      <c r="AU482" s="463"/>
      <c r="AV482" s="468">
        <f t="shared" si="485"/>
        <v>-2100</v>
      </c>
      <c r="AW482" s="468">
        <f t="shared" si="483"/>
        <v>11200</v>
      </c>
      <c r="AX482" s="272"/>
      <c r="AY482" s="272"/>
      <c r="AZ482" s="272"/>
      <c r="BA482" s="272"/>
      <c r="BB482" s="272"/>
      <c r="BC482" s="437">
        <f t="shared" si="491"/>
        <v>0</v>
      </c>
      <c r="BD482" s="437"/>
      <c r="BE482">
        <f t="shared" si="482"/>
        <v>12.5</v>
      </c>
      <c r="BF482" s="437">
        <f t="shared" si="481"/>
        <v>-87.5</v>
      </c>
    </row>
    <row r="483" spans="1:59" ht="39" customHeight="1">
      <c r="A483" s="1621"/>
      <c r="B483" s="1622"/>
      <c r="C483" s="1622"/>
      <c r="D483" s="1373">
        <v>111</v>
      </c>
      <c r="E483" s="1383"/>
      <c r="F483" s="1827">
        <v>613300</v>
      </c>
      <c r="G483" s="1875" t="s">
        <v>262</v>
      </c>
      <c r="H483" s="1575">
        <v>8000</v>
      </c>
      <c r="I483" s="1380"/>
      <c r="J483" s="1380"/>
      <c r="K483" s="1374">
        <v>8000</v>
      </c>
      <c r="L483" s="1577">
        <v>8000</v>
      </c>
      <c r="M483" s="1303"/>
      <c r="N483" s="1304"/>
      <c r="O483" s="1375">
        <f t="shared" si="494"/>
        <v>8000</v>
      </c>
      <c r="P483" s="1577">
        <v>8000</v>
      </c>
      <c r="Q483" s="1303"/>
      <c r="R483" s="1304"/>
      <c r="S483" s="1375">
        <f t="shared" si="493"/>
        <v>8000</v>
      </c>
      <c r="T483" s="1577">
        <v>8000</v>
      </c>
      <c r="U483" s="1303"/>
      <c r="V483" s="1304"/>
      <c r="W483" s="1375">
        <f t="shared" si="495"/>
        <v>8000</v>
      </c>
      <c r="X483" s="1578">
        <f t="shared" si="475"/>
        <v>100</v>
      </c>
      <c r="Y483" s="2457"/>
      <c r="Z483" s="1136"/>
      <c r="AA483" s="1136"/>
      <c r="AB483" s="1293">
        <f t="shared" si="468"/>
        <v>0</v>
      </c>
      <c r="AC483" s="1293">
        <f t="shared" si="470"/>
        <v>0</v>
      </c>
      <c r="AD483" s="1293">
        <f t="shared" si="476"/>
        <v>0</v>
      </c>
      <c r="AE483" s="1293">
        <f t="shared" si="469"/>
        <v>0</v>
      </c>
      <c r="AF483" s="1294"/>
      <c r="AG483" s="1294"/>
      <c r="AH483" s="1294">
        <f t="shared" si="471"/>
        <v>0</v>
      </c>
      <c r="AI483" s="1294">
        <f t="shared" si="492"/>
        <v>0</v>
      </c>
      <c r="AJ483" s="1293">
        <f t="shared" si="477"/>
        <v>0</v>
      </c>
      <c r="AK483" s="1294"/>
      <c r="AL483" s="1294"/>
      <c r="AM483" s="1294"/>
      <c r="AN483" s="1294"/>
      <c r="AO483" s="1294"/>
      <c r="AP483" s="1294"/>
      <c r="AQ483" s="1294"/>
      <c r="AR483" s="1294">
        <f t="shared" si="488"/>
        <v>0</v>
      </c>
      <c r="AS483" s="1136"/>
      <c r="AT483" s="668">
        <f t="shared" si="484"/>
        <v>8100</v>
      </c>
      <c r="AU483" s="463"/>
      <c r="AV483" s="468">
        <f t="shared" si="485"/>
        <v>8100</v>
      </c>
      <c r="AW483" s="468">
        <f t="shared" si="483"/>
        <v>-7100</v>
      </c>
      <c r="AX483" s="272"/>
      <c r="AY483" s="272"/>
      <c r="AZ483" s="272"/>
      <c r="BA483" s="272"/>
      <c r="BB483" s="272"/>
      <c r="BC483" s="437">
        <f t="shared" si="491"/>
        <v>-500</v>
      </c>
      <c r="BD483" s="437"/>
      <c r="BE483">
        <f t="shared" si="482"/>
        <v>14.285714285714285</v>
      </c>
      <c r="BF483" s="437">
        <f t="shared" si="481"/>
        <v>-85.714285714285722</v>
      </c>
    </row>
    <row r="484" spans="1:59" ht="39" customHeight="1">
      <c r="A484" s="1621"/>
      <c r="B484" s="1622"/>
      <c r="C484" s="1622"/>
      <c r="D484" s="1373">
        <v>111</v>
      </c>
      <c r="E484" s="1383"/>
      <c r="F484" s="1827">
        <v>613400</v>
      </c>
      <c r="G484" s="1875" t="s">
        <v>173</v>
      </c>
      <c r="H484" s="1575">
        <v>7000</v>
      </c>
      <c r="I484" s="1380"/>
      <c r="J484" s="1380"/>
      <c r="K484" s="1374">
        <v>7000</v>
      </c>
      <c r="L484" s="1577">
        <v>7000</v>
      </c>
      <c r="M484" s="1303"/>
      <c r="N484" s="1304"/>
      <c r="O484" s="1375">
        <f t="shared" si="494"/>
        <v>7000</v>
      </c>
      <c r="P484" s="1577">
        <v>7000</v>
      </c>
      <c r="Q484" s="1303"/>
      <c r="R484" s="1304"/>
      <c r="S484" s="1375">
        <f t="shared" si="493"/>
        <v>7000</v>
      </c>
      <c r="T484" s="1577">
        <v>7000</v>
      </c>
      <c r="U484" s="1303"/>
      <c r="V484" s="1304"/>
      <c r="W484" s="1375">
        <f t="shared" si="495"/>
        <v>7000</v>
      </c>
      <c r="X484" s="1578">
        <f t="shared" si="475"/>
        <v>100</v>
      </c>
      <c r="Y484" s="2457"/>
      <c r="Z484" s="1136"/>
      <c r="AA484" s="1136"/>
      <c r="AB484" s="1293">
        <f t="shared" si="468"/>
        <v>0</v>
      </c>
      <c r="AC484" s="1293">
        <f t="shared" si="470"/>
        <v>0</v>
      </c>
      <c r="AD484" s="1293">
        <f t="shared" si="476"/>
        <v>0</v>
      </c>
      <c r="AE484" s="1293">
        <f t="shared" si="469"/>
        <v>0</v>
      </c>
      <c r="AF484" s="1294"/>
      <c r="AG484" s="1294"/>
      <c r="AH484" s="1294">
        <f t="shared" si="471"/>
        <v>0</v>
      </c>
      <c r="AI484" s="1294">
        <f t="shared" si="492"/>
        <v>0</v>
      </c>
      <c r="AJ484" s="1293">
        <f t="shared" si="477"/>
        <v>0</v>
      </c>
      <c r="AK484" s="1294"/>
      <c r="AL484" s="1294"/>
      <c r="AM484" s="1294"/>
      <c r="AN484" s="1294"/>
      <c r="AO484" s="1294"/>
      <c r="AP484" s="1294"/>
      <c r="AQ484" s="1294"/>
      <c r="AR484" s="1294">
        <f t="shared" si="488"/>
        <v>0</v>
      </c>
      <c r="AS484" s="1136"/>
      <c r="AT484" s="668">
        <f t="shared" si="484"/>
        <v>0</v>
      </c>
      <c r="AU484" s="463"/>
      <c r="AV484" s="468">
        <f t="shared" si="485"/>
        <v>0</v>
      </c>
      <c r="AW484" s="468">
        <f t="shared" si="483"/>
        <v>1000</v>
      </c>
      <c r="AX484" s="272"/>
      <c r="AY484" s="272"/>
      <c r="AZ484" s="272"/>
      <c r="BA484" s="272"/>
      <c r="BB484" s="272"/>
      <c r="BC484" s="437">
        <f t="shared" si="491"/>
        <v>-700</v>
      </c>
      <c r="BD484" s="437"/>
      <c r="BE484">
        <f t="shared" si="482"/>
        <v>75</v>
      </c>
      <c r="BF484" s="437">
        <f t="shared" si="481"/>
        <v>-25</v>
      </c>
    </row>
    <row r="485" spans="1:59" ht="39" customHeight="1">
      <c r="A485" s="1621"/>
      <c r="B485" s="1622"/>
      <c r="C485" s="1622"/>
      <c r="D485" s="1373">
        <v>111</v>
      </c>
      <c r="E485" s="1383"/>
      <c r="F485" s="1827" t="s">
        <v>175</v>
      </c>
      <c r="G485" s="1875" t="s">
        <v>566</v>
      </c>
      <c r="H485" s="1575">
        <v>2000</v>
      </c>
      <c r="I485" s="1380"/>
      <c r="J485" s="1380"/>
      <c r="K485" s="1374">
        <v>2000</v>
      </c>
      <c r="L485" s="1577">
        <v>2000</v>
      </c>
      <c r="M485" s="1303"/>
      <c r="N485" s="1304"/>
      <c r="O485" s="1375">
        <f t="shared" si="494"/>
        <v>2000</v>
      </c>
      <c r="P485" s="1577">
        <v>2000</v>
      </c>
      <c r="Q485" s="1303"/>
      <c r="R485" s="1304"/>
      <c r="S485" s="1375">
        <f t="shared" si="493"/>
        <v>2000</v>
      </c>
      <c r="T485" s="1577">
        <v>2000</v>
      </c>
      <c r="U485" s="1303"/>
      <c r="V485" s="1304"/>
      <c r="W485" s="1375">
        <f t="shared" si="495"/>
        <v>2000</v>
      </c>
      <c r="X485" s="1578">
        <f t="shared" si="475"/>
        <v>100</v>
      </c>
      <c r="Y485" s="2457"/>
      <c r="Z485" s="1136"/>
      <c r="AA485" s="1136"/>
      <c r="AB485" s="1293">
        <f t="shared" si="468"/>
        <v>0</v>
      </c>
      <c r="AC485" s="1293">
        <f t="shared" si="470"/>
        <v>0</v>
      </c>
      <c r="AD485" s="1293">
        <f t="shared" si="476"/>
        <v>0</v>
      </c>
      <c r="AE485" s="1293">
        <f t="shared" si="469"/>
        <v>0</v>
      </c>
      <c r="AF485" s="1294"/>
      <c r="AG485" s="1294"/>
      <c r="AH485" s="1294">
        <f t="shared" si="471"/>
        <v>0</v>
      </c>
      <c r="AI485" s="1294">
        <f t="shared" si="492"/>
        <v>0</v>
      </c>
      <c r="AJ485" s="1293">
        <f t="shared" si="477"/>
        <v>0</v>
      </c>
      <c r="AK485" s="1294"/>
      <c r="AL485" s="1294"/>
      <c r="AM485" s="1294"/>
      <c r="AN485" s="1294"/>
      <c r="AO485" s="1294"/>
      <c r="AP485" s="1294"/>
      <c r="AQ485" s="1294"/>
      <c r="AR485" s="1294">
        <f t="shared" si="488"/>
        <v>0</v>
      </c>
      <c r="AS485" s="1136"/>
      <c r="AT485" s="668">
        <f t="shared" si="484"/>
        <v>-500</v>
      </c>
      <c r="AU485" s="463"/>
      <c r="AV485" s="468">
        <f t="shared" si="485"/>
        <v>-500</v>
      </c>
      <c r="AW485" s="468">
        <f t="shared" si="483"/>
        <v>2000</v>
      </c>
      <c r="AX485" s="272"/>
      <c r="AY485" s="272"/>
      <c r="AZ485" s="272"/>
      <c r="BA485" s="272"/>
      <c r="BB485" s="272"/>
      <c r="BC485" s="437">
        <f t="shared" si="491"/>
        <v>1300</v>
      </c>
      <c r="BD485" s="437"/>
      <c r="BE485">
        <f t="shared" si="482"/>
        <v>31.428571428571427</v>
      </c>
      <c r="BF485" s="437">
        <f t="shared" si="481"/>
        <v>-118.57142857142857</v>
      </c>
    </row>
    <row r="486" spans="1:59" ht="39" customHeight="1">
      <c r="A486" s="1621"/>
      <c r="B486" s="1622"/>
      <c r="C486" s="1622"/>
      <c r="D486" s="1373">
        <v>111</v>
      </c>
      <c r="E486" s="1383"/>
      <c r="F486" s="1827">
        <v>613700</v>
      </c>
      <c r="G486" s="1875" t="s">
        <v>567</v>
      </c>
      <c r="H486" s="1575">
        <v>7000</v>
      </c>
      <c r="I486" s="1380"/>
      <c r="J486" s="1380"/>
      <c r="K486" s="1374">
        <v>7000</v>
      </c>
      <c r="L486" s="1577">
        <v>7000</v>
      </c>
      <c r="M486" s="1303"/>
      <c r="N486" s="1304"/>
      <c r="O486" s="1375">
        <f t="shared" si="494"/>
        <v>7000</v>
      </c>
      <c r="P486" s="1577">
        <v>7000</v>
      </c>
      <c r="Q486" s="1303"/>
      <c r="R486" s="1304"/>
      <c r="S486" s="1375">
        <f t="shared" si="493"/>
        <v>7000</v>
      </c>
      <c r="T486" s="1577">
        <v>7000</v>
      </c>
      <c r="U486" s="1303"/>
      <c r="V486" s="1304"/>
      <c r="W486" s="1375">
        <f t="shared" si="495"/>
        <v>7000</v>
      </c>
      <c r="X486" s="1578">
        <f t="shared" si="475"/>
        <v>100</v>
      </c>
      <c r="Y486" s="2457"/>
      <c r="Z486" s="1136"/>
      <c r="AA486" s="1136"/>
      <c r="AB486" s="1293">
        <f t="shared" si="468"/>
        <v>0</v>
      </c>
      <c r="AC486" s="1293">
        <f t="shared" si="470"/>
        <v>0</v>
      </c>
      <c r="AD486" s="1293">
        <f t="shared" si="476"/>
        <v>0</v>
      </c>
      <c r="AE486" s="1293">
        <f t="shared" si="469"/>
        <v>0</v>
      </c>
      <c r="AF486" s="1294"/>
      <c r="AG486" s="1294"/>
      <c r="AH486" s="1294">
        <f t="shared" si="471"/>
        <v>0</v>
      </c>
      <c r="AI486" s="1294">
        <f t="shared" si="492"/>
        <v>0</v>
      </c>
      <c r="AJ486" s="1293">
        <f t="shared" si="477"/>
        <v>0</v>
      </c>
      <c r="AK486" s="1294"/>
      <c r="AL486" s="1294"/>
      <c r="AM486" s="1294"/>
      <c r="AN486" s="1294"/>
      <c r="AO486" s="1294"/>
      <c r="AP486" s="1294"/>
      <c r="AQ486" s="1294"/>
      <c r="AR486" s="1294">
        <f t="shared" si="488"/>
        <v>0</v>
      </c>
      <c r="AS486" s="1136"/>
      <c r="AT486" s="668">
        <f t="shared" si="484"/>
        <v>-700</v>
      </c>
      <c r="AU486" s="463"/>
      <c r="AV486" s="468">
        <f t="shared" si="485"/>
        <v>-700</v>
      </c>
      <c r="AW486" s="468">
        <f t="shared" si="483"/>
        <v>2900</v>
      </c>
      <c r="AX486" s="272"/>
      <c r="AY486" s="272"/>
      <c r="AZ486" s="272"/>
      <c r="BA486" s="272"/>
      <c r="BB486" s="272"/>
      <c r="BC486" s="437">
        <f t="shared" si="491"/>
        <v>-600</v>
      </c>
      <c r="BD486" s="437"/>
      <c r="BE486">
        <f t="shared" si="482"/>
        <v>10.465116279069768</v>
      </c>
      <c r="BF486" s="437">
        <f t="shared" si="481"/>
        <v>-89.534883720930225</v>
      </c>
    </row>
    <row r="487" spans="1:59" ht="39" customHeight="1">
      <c r="A487" s="1621"/>
      <c r="B487" s="1622"/>
      <c r="C487" s="1622"/>
      <c r="D487" s="1373">
        <v>111</v>
      </c>
      <c r="E487" s="1383"/>
      <c r="F487" s="1826">
        <v>613900</v>
      </c>
      <c r="G487" s="1874" t="s">
        <v>180</v>
      </c>
      <c r="H487" s="1380">
        <f t="shared" ref="H487:N487" si="496">SUM(H488:H495)</f>
        <v>8600</v>
      </c>
      <c r="I487" s="1380">
        <f t="shared" si="496"/>
        <v>0</v>
      </c>
      <c r="J487" s="1380">
        <f t="shared" si="496"/>
        <v>0</v>
      </c>
      <c r="K487" s="1381">
        <f t="shared" si="496"/>
        <v>8600</v>
      </c>
      <c r="L487" s="1601">
        <f t="shared" si="496"/>
        <v>8600</v>
      </c>
      <c r="M487" s="1303">
        <f t="shared" si="496"/>
        <v>0</v>
      </c>
      <c r="N487" s="1304">
        <f t="shared" si="496"/>
        <v>0</v>
      </c>
      <c r="O487" s="1336">
        <f>SUM(O488:O495)</f>
        <v>8600</v>
      </c>
      <c r="P487" s="1601">
        <f>SUM(P488:P495)</f>
        <v>9100</v>
      </c>
      <c r="Q487" s="1303"/>
      <c r="R487" s="1304"/>
      <c r="S487" s="1336">
        <f>SUM(S488:S495)</f>
        <v>9100</v>
      </c>
      <c r="T487" s="1601">
        <f>SUM(T488:T495)</f>
        <v>9100</v>
      </c>
      <c r="U487" s="1303"/>
      <c r="V487" s="1304"/>
      <c r="W487" s="1316">
        <f>SUM(W488:W495)</f>
        <v>9100</v>
      </c>
      <c r="X487" s="1578">
        <f t="shared" si="475"/>
        <v>105.81395348837211</v>
      </c>
      <c r="Y487" s="2457">
        <f>'[1]PRIH REBALANS'!$AK$1103</f>
        <v>9100</v>
      </c>
      <c r="Z487" s="1136"/>
      <c r="AA487" s="1136"/>
      <c r="AB487" s="1293">
        <f t="shared" si="468"/>
        <v>0</v>
      </c>
      <c r="AC487" s="1293">
        <f t="shared" si="470"/>
        <v>0</v>
      </c>
      <c r="AD487" s="1293">
        <f t="shared" si="476"/>
        <v>500</v>
      </c>
      <c r="AE487" s="1293">
        <f t="shared" si="469"/>
        <v>0</v>
      </c>
      <c r="AF487" s="1294"/>
      <c r="AG487" s="1294"/>
      <c r="AH487" s="1294">
        <f t="shared" si="471"/>
        <v>500</v>
      </c>
      <c r="AI487" s="1294">
        <f t="shared" si="492"/>
        <v>0</v>
      </c>
      <c r="AJ487" s="1293">
        <f t="shared" si="477"/>
        <v>0</v>
      </c>
      <c r="AK487" s="1294"/>
      <c r="AL487" s="1294"/>
      <c r="AM487" s="1294"/>
      <c r="AN487" s="1294"/>
      <c r="AO487" s="1294"/>
      <c r="AP487" s="1294"/>
      <c r="AQ487" s="1294">
        <f>SUM(W488:W495)</f>
        <v>9100</v>
      </c>
      <c r="AR487" s="1294">
        <f t="shared" si="488"/>
        <v>0</v>
      </c>
      <c r="AS487" s="1136">
        <f>SUM(W493:W500)</f>
        <v>1091790</v>
      </c>
      <c r="AT487" s="668">
        <f t="shared" si="484"/>
        <v>1300</v>
      </c>
      <c r="AU487" s="463">
        <f>SUM(W493:W500)</f>
        <v>1091790</v>
      </c>
      <c r="AV487" s="468">
        <f t="shared" si="485"/>
        <v>1300</v>
      </c>
      <c r="AW487" s="468">
        <f t="shared" si="483"/>
        <v>-400</v>
      </c>
      <c r="AX487" s="463"/>
      <c r="AY487" s="463"/>
      <c r="AZ487" s="463"/>
      <c r="BA487" s="463"/>
      <c r="BB487" s="463"/>
      <c r="BC487" s="437">
        <f t="shared" si="491"/>
        <v>1000</v>
      </c>
      <c r="BD487" s="437"/>
      <c r="BE487">
        <f t="shared" si="482"/>
        <v>150</v>
      </c>
      <c r="BF487" s="437">
        <f t="shared" si="481"/>
        <v>50</v>
      </c>
      <c r="BG487" s="209">
        <f>SUM(W493:W500)</f>
        <v>1091790</v>
      </c>
    </row>
    <row r="488" spans="1:59" ht="39" customHeight="1">
      <c r="A488" s="1621"/>
      <c r="B488" s="1622"/>
      <c r="C488" s="1622"/>
      <c r="D488" s="1373">
        <v>111</v>
      </c>
      <c r="E488" s="1383"/>
      <c r="F488" s="1828">
        <v>613912</v>
      </c>
      <c r="G488" s="1876" t="s">
        <v>275</v>
      </c>
      <c r="H488" s="1385">
        <v>1000</v>
      </c>
      <c r="I488" s="1599"/>
      <c r="J488" s="1599"/>
      <c r="K488" s="1691">
        <v>1000</v>
      </c>
      <c r="L488" s="1623">
        <v>1000</v>
      </c>
      <c r="M488" s="1321"/>
      <c r="N488" s="1322"/>
      <c r="O488" s="1375">
        <f>SUM(L488:N488)</f>
        <v>1000</v>
      </c>
      <c r="P488" s="1623">
        <v>1000</v>
      </c>
      <c r="Q488" s="1321"/>
      <c r="R488" s="1322"/>
      <c r="S488" s="1375">
        <f t="shared" ref="S488:S495" si="497">SUM(P488:R488)</f>
        <v>1000</v>
      </c>
      <c r="T488" s="1623">
        <v>1000</v>
      </c>
      <c r="U488" s="1321"/>
      <c r="V488" s="1322"/>
      <c r="W488" s="1375">
        <f>SUM(T488:V488)</f>
        <v>1000</v>
      </c>
      <c r="X488" s="1578">
        <f t="shared" si="475"/>
        <v>100</v>
      </c>
      <c r="Y488" s="2457"/>
      <c r="Z488" s="1136"/>
      <c r="AA488" s="1136"/>
      <c r="AB488" s="1293">
        <f t="shared" si="468"/>
        <v>0</v>
      </c>
      <c r="AC488" s="1293">
        <f t="shared" si="470"/>
        <v>0</v>
      </c>
      <c r="AD488" s="1293">
        <f t="shared" si="476"/>
        <v>0</v>
      </c>
      <c r="AE488" s="1293">
        <f t="shared" si="469"/>
        <v>0</v>
      </c>
      <c r="AF488" s="1294"/>
      <c r="AG488" s="1294"/>
      <c r="AH488" s="1294">
        <f t="shared" si="471"/>
        <v>0</v>
      </c>
      <c r="AI488" s="1294">
        <f t="shared" si="492"/>
        <v>0</v>
      </c>
      <c r="AJ488" s="1293">
        <f t="shared" si="477"/>
        <v>0</v>
      </c>
      <c r="AK488" s="1294"/>
      <c r="AL488" s="1294"/>
      <c r="AM488" s="1294"/>
      <c r="AN488" s="1294"/>
      <c r="AO488" s="1294"/>
      <c r="AP488" s="1294"/>
      <c r="AQ488" s="1294"/>
      <c r="AR488" s="1294">
        <f t="shared" si="488"/>
        <v>0</v>
      </c>
      <c r="AS488" s="1136"/>
      <c r="AT488" s="668">
        <f t="shared" si="484"/>
        <v>-600</v>
      </c>
      <c r="AU488" s="463"/>
      <c r="AV488" s="468">
        <f t="shared" si="485"/>
        <v>-600</v>
      </c>
      <c r="AW488" s="468">
        <f t="shared" si="483"/>
        <v>2100</v>
      </c>
      <c r="AX488" s="272"/>
      <c r="AY488" s="272"/>
      <c r="AZ488" s="272"/>
      <c r="BA488" s="272"/>
      <c r="BB488" s="272"/>
      <c r="BC488" s="437">
        <f t="shared" si="491"/>
        <v>0</v>
      </c>
      <c r="BD488" s="437"/>
      <c r="BE488">
        <f t="shared" si="482"/>
        <v>50</v>
      </c>
      <c r="BF488" s="437">
        <f t="shared" si="481"/>
        <v>-50</v>
      </c>
    </row>
    <row r="489" spans="1:59" ht="39" customHeight="1">
      <c r="A489" s="1621"/>
      <c r="B489" s="1622"/>
      <c r="C489" s="1622"/>
      <c r="D489" s="1373">
        <v>111</v>
      </c>
      <c r="E489" s="1383"/>
      <c r="F489" s="1827">
        <v>613914</v>
      </c>
      <c r="G489" s="1875" t="s">
        <v>224</v>
      </c>
      <c r="H489" s="1385">
        <v>1000</v>
      </c>
      <c r="I489" s="1599"/>
      <c r="J489" s="1599"/>
      <c r="K489" s="1691">
        <v>1000</v>
      </c>
      <c r="L489" s="1623">
        <v>1000</v>
      </c>
      <c r="M489" s="1321"/>
      <c r="N489" s="1322"/>
      <c r="O489" s="1375">
        <f t="shared" ref="O489:O495" si="498">SUM(L489:N489)</f>
        <v>1000</v>
      </c>
      <c r="P489" s="1623">
        <v>1000</v>
      </c>
      <c r="Q489" s="1321"/>
      <c r="R489" s="1322"/>
      <c r="S489" s="1375">
        <f t="shared" si="497"/>
        <v>1000</v>
      </c>
      <c r="T489" s="1623">
        <v>1000</v>
      </c>
      <c r="U489" s="1321"/>
      <c r="V489" s="1322"/>
      <c r="W489" s="1375">
        <f t="shared" ref="W489:W495" si="499">SUM(T489:V489)</f>
        <v>1000</v>
      </c>
      <c r="X489" s="1578">
        <f t="shared" si="475"/>
        <v>100</v>
      </c>
      <c r="Y489" s="2457"/>
      <c r="Z489" s="1136"/>
      <c r="AA489" s="1136"/>
      <c r="AB489" s="1293">
        <f t="shared" si="468"/>
        <v>0</v>
      </c>
      <c r="AC489" s="1293">
        <f t="shared" si="470"/>
        <v>0</v>
      </c>
      <c r="AD489" s="1293">
        <f t="shared" si="476"/>
        <v>0</v>
      </c>
      <c r="AE489" s="1293">
        <f t="shared" si="469"/>
        <v>0</v>
      </c>
      <c r="AF489" s="1294"/>
      <c r="AG489" s="1294"/>
      <c r="AH489" s="1294">
        <f t="shared" si="471"/>
        <v>0</v>
      </c>
      <c r="AI489" s="1294">
        <f t="shared" si="492"/>
        <v>0</v>
      </c>
      <c r="AJ489" s="1293">
        <f t="shared" si="477"/>
        <v>0</v>
      </c>
      <c r="AK489" s="1294"/>
      <c r="AL489" s="1294"/>
      <c r="AM489" s="1294"/>
      <c r="AN489" s="1294"/>
      <c r="AO489" s="1294"/>
      <c r="AP489" s="1294"/>
      <c r="AQ489" s="1294"/>
      <c r="AR489" s="1294">
        <f t="shared" si="488"/>
        <v>0</v>
      </c>
      <c r="AS489" s="1136"/>
      <c r="AT489" s="668">
        <f t="shared" si="484"/>
        <v>1000</v>
      </c>
      <c r="AU489" s="463"/>
      <c r="AV489" s="468">
        <f t="shared" si="485"/>
        <v>1000</v>
      </c>
      <c r="AW489" s="468">
        <f t="shared" si="483"/>
        <v>-500</v>
      </c>
      <c r="AX489" s="272"/>
      <c r="AY489" s="272"/>
      <c r="AZ489" s="272"/>
      <c r="BA489" s="272"/>
      <c r="BB489" s="272"/>
      <c r="BC489" s="437">
        <f t="shared" si="491"/>
        <v>-4500</v>
      </c>
      <c r="BD489" s="437"/>
      <c r="BE489">
        <f t="shared" si="482"/>
        <v>33.333333333333329</v>
      </c>
      <c r="BF489" s="437">
        <f t="shared" si="481"/>
        <v>-66.666666666666671</v>
      </c>
    </row>
    <row r="490" spans="1:59" ht="39" customHeight="1">
      <c r="A490" s="1621"/>
      <c r="B490" s="1622"/>
      <c r="C490" s="1622"/>
      <c r="D490" s="1373">
        <v>111</v>
      </c>
      <c r="E490" s="1383"/>
      <c r="F490" s="1827">
        <v>613920</v>
      </c>
      <c r="G490" s="1875" t="s">
        <v>568</v>
      </c>
      <c r="H490" s="1385">
        <v>1500</v>
      </c>
      <c r="I490" s="1599"/>
      <c r="J490" s="1599"/>
      <c r="K490" s="1691">
        <v>1500</v>
      </c>
      <c r="L490" s="1623">
        <v>1500</v>
      </c>
      <c r="M490" s="1321"/>
      <c r="N490" s="1322"/>
      <c r="O490" s="1375">
        <f t="shared" si="498"/>
        <v>1500</v>
      </c>
      <c r="P490" s="1623">
        <v>1500</v>
      </c>
      <c r="Q490" s="1321"/>
      <c r="R490" s="1322"/>
      <c r="S490" s="1375">
        <f t="shared" si="497"/>
        <v>1500</v>
      </c>
      <c r="T490" s="1623">
        <v>1500</v>
      </c>
      <c r="U490" s="1321"/>
      <c r="V490" s="1322"/>
      <c r="W490" s="1375">
        <f t="shared" si="499"/>
        <v>1500</v>
      </c>
      <c r="X490" s="1578">
        <f t="shared" si="475"/>
        <v>100</v>
      </c>
      <c r="Y490" s="2457"/>
      <c r="Z490" s="1136"/>
      <c r="AA490" s="1136"/>
      <c r="AB490" s="1293">
        <f t="shared" si="468"/>
        <v>0</v>
      </c>
      <c r="AC490" s="1293">
        <f t="shared" si="470"/>
        <v>0</v>
      </c>
      <c r="AD490" s="1293">
        <f t="shared" si="476"/>
        <v>0</v>
      </c>
      <c r="AE490" s="1293">
        <f t="shared" si="469"/>
        <v>0</v>
      </c>
      <c r="AF490" s="1294"/>
      <c r="AG490" s="1294"/>
      <c r="AH490" s="1294">
        <f t="shared" si="471"/>
        <v>0</v>
      </c>
      <c r="AI490" s="1294">
        <f t="shared" si="492"/>
        <v>0</v>
      </c>
      <c r="AJ490" s="1293">
        <f t="shared" si="477"/>
        <v>0</v>
      </c>
      <c r="AK490" s="1294"/>
      <c r="AL490" s="1294"/>
      <c r="AM490" s="1294"/>
      <c r="AN490" s="1294"/>
      <c r="AO490" s="1294"/>
      <c r="AP490" s="1294"/>
      <c r="AQ490" s="1294"/>
      <c r="AR490" s="1294">
        <f t="shared" si="488"/>
        <v>0</v>
      </c>
      <c r="AS490" s="1136"/>
      <c r="AT490" s="668">
        <f t="shared" si="484"/>
        <v>0</v>
      </c>
      <c r="AU490" s="463"/>
      <c r="AV490" s="468">
        <f t="shared" si="485"/>
        <v>0</v>
      </c>
      <c r="AW490" s="468">
        <f t="shared" si="483"/>
        <v>500</v>
      </c>
      <c r="AX490" s="272"/>
      <c r="AY490" s="272"/>
      <c r="AZ490" s="272"/>
      <c r="BA490" s="272"/>
      <c r="BB490" s="272"/>
      <c r="BC490" s="437">
        <f t="shared" si="491"/>
        <v>0</v>
      </c>
      <c r="BD490" s="437"/>
      <c r="BE490">
        <f t="shared" si="482"/>
        <v>227.27272727272728</v>
      </c>
      <c r="BF490" s="437">
        <f t="shared" si="481"/>
        <v>150.98398188527341</v>
      </c>
    </row>
    <row r="491" spans="1:59" ht="39" customHeight="1">
      <c r="A491" s="1376"/>
      <c r="B491" s="1573"/>
      <c r="C491" s="1573"/>
      <c r="D491" s="1373">
        <v>111</v>
      </c>
      <c r="E491" s="1383"/>
      <c r="F491" s="1827" t="s">
        <v>569</v>
      </c>
      <c r="G491" s="1875" t="s">
        <v>249</v>
      </c>
      <c r="H491" s="1385">
        <v>2200</v>
      </c>
      <c r="I491" s="1599"/>
      <c r="J491" s="1599"/>
      <c r="K491" s="1691">
        <v>2200</v>
      </c>
      <c r="L491" s="1577">
        <v>2200</v>
      </c>
      <c r="M491" s="1321"/>
      <c r="N491" s="1322"/>
      <c r="O491" s="1375">
        <f t="shared" si="498"/>
        <v>2200</v>
      </c>
      <c r="P491" s="1577">
        <v>2200</v>
      </c>
      <c r="Q491" s="1321"/>
      <c r="R491" s="1322"/>
      <c r="S491" s="1375">
        <f t="shared" si="497"/>
        <v>2200</v>
      </c>
      <c r="T491" s="1577">
        <v>2200</v>
      </c>
      <c r="U491" s="1321"/>
      <c r="V491" s="1322"/>
      <c r="W491" s="1375">
        <f t="shared" si="499"/>
        <v>2200</v>
      </c>
      <c r="X491" s="1578">
        <f t="shared" si="475"/>
        <v>100</v>
      </c>
      <c r="Y491" s="2457"/>
      <c r="Z491" s="1136"/>
      <c r="AA491" s="1136"/>
      <c r="AB491" s="1293">
        <f t="shared" si="468"/>
        <v>0</v>
      </c>
      <c r="AC491" s="1293">
        <f t="shared" si="470"/>
        <v>0</v>
      </c>
      <c r="AD491" s="1293">
        <f t="shared" si="476"/>
        <v>0</v>
      </c>
      <c r="AE491" s="1293">
        <f t="shared" si="469"/>
        <v>0</v>
      </c>
      <c r="AF491" s="1294"/>
      <c r="AG491" s="1294"/>
      <c r="AH491" s="1294">
        <f t="shared" si="471"/>
        <v>0</v>
      </c>
      <c r="AI491" s="1294">
        <f t="shared" si="492"/>
        <v>0</v>
      </c>
      <c r="AJ491" s="1293">
        <f t="shared" si="477"/>
        <v>0</v>
      </c>
      <c r="AK491" s="1294"/>
      <c r="AL491" s="1294"/>
      <c r="AM491" s="1294"/>
      <c r="AN491" s="1294"/>
      <c r="AO491" s="1294"/>
      <c r="AP491" s="1294"/>
      <c r="AQ491" s="1294"/>
      <c r="AR491" s="1294">
        <f t="shared" si="488"/>
        <v>0</v>
      </c>
      <c r="AS491" s="1136"/>
      <c r="AT491" s="668">
        <f t="shared" si="484"/>
        <v>-4500</v>
      </c>
      <c r="AU491" s="463"/>
      <c r="AV491" s="468">
        <f t="shared" si="485"/>
        <v>-4500</v>
      </c>
      <c r="AW491" s="468">
        <f t="shared" si="483"/>
        <v>9500</v>
      </c>
      <c r="AX491" s="272"/>
      <c r="AY491" s="272"/>
      <c r="AZ491" s="272"/>
      <c r="BA491" s="272"/>
      <c r="BB491" s="272"/>
      <c r="BC491" s="437">
        <f t="shared" si="491"/>
        <v>-821970</v>
      </c>
      <c r="BD491" s="437"/>
      <c r="BE491">
        <f t="shared" si="482"/>
        <v>555.55555555555554</v>
      </c>
      <c r="BF491" s="437">
        <f t="shared" si="481"/>
        <v>555.55555555555554</v>
      </c>
    </row>
    <row r="492" spans="1:59" ht="39" customHeight="1">
      <c r="A492" s="1376"/>
      <c r="B492" s="1573"/>
      <c r="C492" s="1573"/>
      <c r="D492" s="1373">
        <v>111</v>
      </c>
      <c r="E492" s="1383"/>
      <c r="F492" s="1827" t="s">
        <v>570</v>
      </c>
      <c r="G492" s="1875" t="s">
        <v>703</v>
      </c>
      <c r="H492" s="1385">
        <v>900</v>
      </c>
      <c r="I492" s="1599"/>
      <c r="J492" s="1599"/>
      <c r="K492" s="1691">
        <v>900</v>
      </c>
      <c r="L492" s="1623">
        <v>900</v>
      </c>
      <c r="M492" s="1321"/>
      <c r="N492" s="1322"/>
      <c r="O492" s="1375">
        <f t="shared" si="498"/>
        <v>900</v>
      </c>
      <c r="P492" s="1623">
        <v>900</v>
      </c>
      <c r="Q492" s="1321"/>
      <c r="R492" s="1322"/>
      <c r="S492" s="1375">
        <f t="shared" si="497"/>
        <v>900</v>
      </c>
      <c r="T492" s="1623">
        <v>900</v>
      </c>
      <c r="U492" s="1321"/>
      <c r="V492" s="1322"/>
      <c r="W492" s="1375">
        <f t="shared" si="499"/>
        <v>900</v>
      </c>
      <c r="X492" s="1578">
        <f t="shared" si="475"/>
        <v>100</v>
      </c>
      <c r="Y492" s="2457"/>
      <c r="Z492" s="1136"/>
      <c r="AA492" s="1136"/>
      <c r="AB492" s="1293">
        <f t="shared" si="468"/>
        <v>0</v>
      </c>
      <c r="AC492" s="1293">
        <f t="shared" si="470"/>
        <v>0</v>
      </c>
      <c r="AD492" s="1293">
        <f t="shared" si="476"/>
        <v>0</v>
      </c>
      <c r="AE492" s="1293">
        <f t="shared" si="469"/>
        <v>0</v>
      </c>
      <c r="AF492" s="1294"/>
      <c r="AG492" s="1294"/>
      <c r="AH492" s="1294">
        <f t="shared" si="471"/>
        <v>0</v>
      </c>
      <c r="AI492" s="1294">
        <f t="shared" si="492"/>
        <v>0</v>
      </c>
      <c r="AJ492" s="1293">
        <f t="shared" si="477"/>
        <v>0</v>
      </c>
      <c r="AK492" s="1294"/>
      <c r="AL492" s="1294"/>
      <c r="AM492" s="1294"/>
      <c r="AN492" s="1294"/>
      <c r="AO492" s="1294"/>
      <c r="AP492" s="1294"/>
      <c r="AQ492" s="1294"/>
      <c r="AR492" s="1294">
        <f t="shared" si="488"/>
        <v>0</v>
      </c>
      <c r="AS492" s="1136"/>
      <c r="AT492" s="668">
        <f t="shared" si="484"/>
        <v>0</v>
      </c>
      <c r="AU492" s="463"/>
      <c r="AV492" s="468">
        <f t="shared" si="485"/>
        <v>0</v>
      </c>
      <c r="AW492" s="468">
        <f t="shared" si="483"/>
        <v>5000</v>
      </c>
      <c r="AX492" s="272"/>
      <c r="AY492" s="272"/>
      <c r="AZ492" s="272"/>
      <c r="BA492" s="272"/>
      <c r="BB492" s="272"/>
      <c r="BC492" s="437">
        <f t="shared" si="491"/>
        <v>826970</v>
      </c>
      <c r="BD492" s="437"/>
      <c r="BE492">
        <f t="shared" si="482"/>
        <v>82697</v>
      </c>
      <c r="BF492" s="437">
        <f t="shared" si="481"/>
        <v>82596.353809333872</v>
      </c>
    </row>
    <row r="493" spans="1:59" ht="39" customHeight="1">
      <c r="A493" s="1376"/>
      <c r="B493" s="1573"/>
      <c r="C493" s="1573"/>
      <c r="D493" s="1373">
        <v>111</v>
      </c>
      <c r="E493" s="1383"/>
      <c r="F493" s="1827">
        <v>613934</v>
      </c>
      <c r="G493" s="1875" t="s">
        <v>571</v>
      </c>
      <c r="H493" s="1385">
        <v>1000</v>
      </c>
      <c r="I493" s="1599"/>
      <c r="J493" s="1599"/>
      <c r="K493" s="1691">
        <v>1000</v>
      </c>
      <c r="L493" s="1623">
        <v>1000</v>
      </c>
      <c r="M493" s="1321"/>
      <c r="N493" s="1322"/>
      <c r="O493" s="1375">
        <f t="shared" si="498"/>
        <v>1000</v>
      </c>
      <c r="P493" s="1623">
        <v>1500</v>
      </c>
      <c r="Q493" s="1321"/>
      <c r="R493" s="1322"/>
      <c r="S493" s="1375">
        <f t="shared" si="497"/>
        <v>1500</v>
      </c>
      <c r="T493" s="1623">
        <v>1500</v>
      </c>
      <c r="U493" s="1321"/>
      <c r="V493" s="1322"/>
      <c r="W493" s="1375">
        <f t="shared" si="499"/>
        <v>1500</v>
      </c>
      <c r="X493" s="1578">
        <f t="shared" si="475"/>
        <v>150</v>
      </c>
      <c r="Y493" s="2457"/>
      <c r="Z493" s="1136"/>
      <c r="AA493" s="1136"/>
      <c r="AB493" s="1293">
        <f t="shared" si="468"/>
        <v>0</v>
      </c>
      <c r="AC493" s="1293">
        <f t="shared" si="470"/>
        <v>0</v>
      </c>
      <c r="AD493" s="1293">
        <f t="shared" si="476"/>
        <v>500</v>
      </c>
      <c r="AE493" s="1293">
        <f t="shared" si="469"/>
        <v>0</v>
      </c>
      <c r="AF493" s="1294"/>
      <c r="AG493" s="1294"/>
      <c r="AH493" s="1294">
        <f t="shared" si="471"/>
        <v>500</v>
      </c>
      <c r="AI493" s="1294">
        <f t="shared" si="492"/>
        <v>0</v>
      </c>
      <c r="AJ493" s="1293">
        <f t="shared" si="477"/>
        <v>0</v>
      </c>
      <c r="AK493" s="1294"/>
      <c r="AL493" s="1294"/>
      <c r="AM493" s="1294"/>
      <c r="AN493" s="1294"/>
      <c r="AO493" s="1294"/>
      <c r="AP493" s="1294"/>
      <c r="AQ493" s="1294"/>
      <c r="AR493" s="1294">
        <f t="shared" si="488"/>
        <v>0</v>
      </c>
      <c r="AS493" s="1136"/>
      <c r="AT493" s="668">
        <f t="shared" si="484"/>
        <v>-821970</v>
      </c>
      <c r="AU493" s="463"/>
      <c r="AV493" s="468">
        <f t="shared" si="485"/>
        <v>-821970</v>
      </c>
      <c r="AW493" s="468">
        <f t="shared" si="483"/>
        <v>1648940</v>
      </c>
      <c r="AX493" s="272"/>
      <c r="AY493" s="272"/>
      <c r="AZ493" s="272"/>
      <c r="BA493" s="272"/>
      <c r="BB493" s="272"/>
      <c r="BC493" s="437">
        <f t="shared" si="491"/>
        <v>-252320</v>
      </c>
      <c r="BD493" s="437"/>
      <c r="BE493">
        <f t="shared" si="482"/>
        <v>0</v>
      </c>
      <c r="BF493" s="437">
        <f t="shared" si="481"/>
        <v>-100</v>
      </c>
    </row>
    <row r="494" spans="1:59" ht="39" customHeight="1">
      <c r="A494" s="1572"/>
      <c r="B494" s="1377"/>
      <c r="C494" s="1377"/>
      <c r="D494" s="1373">
        <v>111</v>
      </c>
      <c r="E494" s="1383"/>
      <c r="F494" s="1827" t="s">
        <v>315</v>
      </c>
      <c r="G494" s="1875" t="s">
        <v>250</v>
      </c>
      <c r="H494" s="1385">
        <v>500</v>
      </c>
      <c r="I494" s="1599"/>
      <c r="J494" s="1599"/>
      <c r="K494" s="1691">
        <v>500</v>
      </c>
      <c r="L494" s="1623">
        <v>500</v>
      </c>
      <c r="M494" s="1321"/>
      <c r="N494" s="1322"/>
      <c r="O494" s="1375">
        <f t="shared" si="498"/>
        <v>500</v>
      </c>
      <c r="P494" s="1623">
        <v>500</v>
      </c>
      <c r="Q494" s="1321"/>
      <c r="R494" s="1322"/>
      <c r="S494" s="1375">
        <f t="shared" si="497"/>
        <v>500</v>
      </c>
      <c r="T494" s="1623">
        <v>500</v>
      </c>
      <c r="U494" s="1321"/>
      <c r="V494" s="1322"/>
      <c r="W494" s="1375">
        <f t="shared" si="499"/>
        <v>500</v>
      </c>
      <c r="X494" s="1578">
        <f t="shared" si="475"/>
        <v>100</v>
      </c>
      <c r="Y494" s="2457"/>
      <c r="Z494" s="1136"/>
      <c r="AA494" s="1136"/>
      <c r="AB494" s="1293">
        <f t="shared" si="468"/>
        <v>0</v>
      </c>
      <c r="AC494" s="1293">
        <f t="shared" si="470"/>
        <v>0</v>
      </c>
      <c r="AD494" s="1293">
        <f t="shared" si="476"/>
        <v>0</v>
      </c>
      <c r="AE494" s="1293">
        <f t="shared" si="469"/>
        <v>0</v>
      </c>
      <c r="AF494" s="1294"/>
      <c r="AG494" s="1294"/>
      <c r="AH494" s="1294">
        <f t="shared" si="471"/>
        <v>0</v>
      </c>
      <c r="AI494" s="1294">
        <f t="shared" si="492"/>
        <v>0</v>
      </c>
      <c r="AJ494" s="1293">
        <f t="shared" si="477"/>
        <v>0</v>
      </c>
      <c r="AK494" s="1294"/>
      <c r="AL494" s="1294"/>
      <c r="AM494" s="1294"/>
      <c r="AN494" s="1294"/>
      <c r="AO494" s="1294"/>
      <c r="AP494" s="1294"/>
      <c r="AQ494" s="1294"/>
      <c r="AR494" s="1294">
        <f t="shared" si="488"/>
        <v>0</v>
      </c>
      <c r="AS494" s="1136"/>
      <c r="AT494" s="668">
        <f t="shared" si="484"/>
        <v>826970</v>
      </c>
      <c r="AU494" s="463"/>
      <c r="AV494" s="468">
        <f t="shared" si="485"/>
        <v>826970</v>
      </c>
      <c r="AW494" s="468">
        <f t="shared" si="483"/>
        <v>-826970</v>
      </c>
      <c r="AX494" s="272"/>
      <c r="AY494" s="272"/>
      <c r="AZ494" s="272"/>
      <c r="BA494" s="272"/>
      <c r="BB494" s="272"/>
      <c r="BC494" s="437">
        <f t="shared" si="491"/>
        <v>34320</v>
      </c>
      <c r="BD494" s="437"/>
      <c r="BE494">
        <f t="shared" si="482"/>
        <v>50464</v>
      </c>
      <c r="BF494" s="437">
        <f t="shared" si="481"/>
        <v>50364</v>
      </c>
    </row>
    <row r="495" spans="1:59" ht="39" customHeight="1">
      <c r="A495" s="1572"/>
      <c r="B495" s="1377"/>
      <c r="C495" s="1377"/>
      <c r="D495" s="1373">
        <v>111</v>
      </c>
      <c r="E495" s="1383"/>
      <c r="F495" s="1827">
        <v>613990</v>
      </c>
      <c r="G495" s="1875" t="s">
        <v>235</v>
      </c>
      <c r="H495" s="1385">
        <v>500</v>
      </c>
      <c r="I495" s="1599"/>
      <c r="J495" s="1599"/>
      <c r="K495" s="1691">
        <v>500</v>
      </c>
      <c r="L495" s="1623">
        <v>500</v>
      </c>
      <c r="M495" s="1321"/>
      <c r="N495" s="1322"/>
      <c r="O495" s="1375">
        <f t="shared" si="498"/>
        <v>500</v>
      </c>
      <c r="P495" s="1623">
        <v>500</v>
      </c>
      <c r="Q495" s="1321"/>
      <c r="R495" s="1322"/>
      <c r="S495" s="1375">
        <f t="shared" si="497"/>
        <v>500</v>
      </c>
      <c r="T495" s="1623">
        <v>500</v>
      </c>
      <c r="U495" s="1321"/>
      <c r="V495" s="1322"/>
      <c r="W495" s="1375">
        <f t="shared" si="499"/>
        <v>500</v>
      </c>
      <c r="X495" s="1578">
        <f t="shared" si="475"/>
        <v>100</v>
      </c>
      <c r="Y495" s="2457"/>
      <c r="Z495" s="1136"/>
      <c r="AA495" s="1136"/>
      <c r="AB495" s="1293">
        <f t="shared" si="468"/>
        <v>0</v>
      </c>
      <c r="AC495" s="1293">
        <f t="shared" si="470"/>
        <v>0</v>
      </c>
      <c r="AD495" s="1293">
        <f t="shared" si="476"/>
        <v>0</v>
      </c>
      <c r="AE495" s="1293">
        <f t="shared" si="469"/>
        <v>0</v>
      </c>
      <c r="AF495" s="1294"/>
      <c r="AG495" s="1294"/>
      <c r="AH495" s="1294">
        <f t="shared" si="471"/>
        <v>0</v>
      </c>
      <c r="AI495" s="1294">
        <f t="shared" si="492"/>
        <v>0</v>
      </c>
      <c r="AJ495" s="1293">
        <f t="shared" si="477"/>
        <v>0</v>
      </c>
      <c r="AK495" s="1294"/>
      <c r="AL495" s="1294"/>
      <c r="AM495" s="1294"/>
      <c r="AN495" s="1294"/>
      <c r="AO495" s="1294"/>
      <c r="AP495" s="1294"/>
      <c r="AQ495" s="1294"/>
      <c r="AR495" s="1294">
        <f t="shared" si="488"/>
        <v>0</v>
      </c>
      <c r="AS495" s="1136"/>
      <c r="AT495" s="668">
        <f t="shared" si="484"/>
        <v>-252320</v>
      </c>
      <c r="AU495" s="463"/>
      <c r="AV495" s="468">
        <f t="shared" si="485"/>
        <v>-252320</v>
      </c>
      <c r="AW495" s="468">
        <f t="shared" ref="AW495:AW526" si="500">W500-AV495</f>
        <v>504640</v>
      </c>
      <c r="AX495" s="272"/>
      <c r="AY495" s="272"/>
      <c r="AZ495" s="272"/>
      <c r="BA495" s="272"/>
      <c r="BB495" s="272"/>
      <c r="BC495" s="437">
        <f t="shared" si="491"/>
        <v>68000</v>
      </c>
      <c r="BD495" s="437"/>
      <c r="BE495">
        <f t="shared" si="482"/>
        <v>4360</v>
      </c>
      <c r="BF495" s="437">
        <f t="shared" si="481"/>
        <v>4260</v>
      </c>
    </row>
    <row r="496" spans="1:59" ht="39" customHeight="1">
      <c r="A496" s="1572"/>
      <c r="B496" s="1377"/>
      <c r="C496" s="1377"/>
      <c r="D496" s="1373">
        <v>111</v>
      </c>
      <c r="E496" s="1383"/>
      <c r="F496" s="1826">
        <v>821000</v>
      </c>
      <c r="G496" s="1874" t="s">
        <v>236</v>
      </c>
      <c r="H496" s="1599">
        <f t="shared" ref="H496:K496" si="501">SUM(H497)</f>
        <v>2000</v>
      </c>
      <c r="I496" s="1599">
        <f t="shared" si="501"/>
        <v>0</v>
      </c>
      <c r="J496" s="1599">
        <f t="shared" si="501"/>
        <v>0</v>
      </c>
      <c r="K496" s="1689">
        <f t="shared" si="501"/>
        <v>2000</v>
      </c>
      <c r="L496" s="1634">
        <f>SUM(L497)</f>
        <v>5000</v>
      </c>
      <c r="M496" s="1321">
        <f>SUM(M497)</f>
        <v>0</v>
      </c>
      <c r="N496" s="1322">
        <f>SUM(N497)</f>
        <v>0</v>
      </c>
      <c r="O496" s="1336">
        <f>SUM(O497)</f>
        <v>5000</v>
      </c>
      <c r="P496" s="1634">
        <f>SUM(P497)</f>
        <v>10000</v>
      </c>
      <c r="Q496" s="1321"/>
      <c r="R496" s="1322"/>
      <c r="S496" s="1336">
        <f>SUM(S497)</f>
        <v>10000</v>
      </c>
      <c r="T496" s="1634">
        <f>SUM(T497)</f>
        <v>5000</v>
      </c>
      <c r="U496" s="1321"/>
      <c r="V496" s="1322"/>
      <c r="W496" s="1316">
        <f>SUM(W497)</f>
        <v>5000</v>
      </c>
      <c r="X496" s="1578">
        <f t="shared" si="475"/>
        <v>100</v>
      </c>
      <c r="Y496" s="2457">
        <f>'[1]PRIH REBALANS'!$AK$1112</f>
        <v>5000</v>
      </c>
      <c r="Z496" s="1136"/>
      <c r="AA496" s="1136"/>
      <c r="AB496" s="1293">
        <f t="shared" si="468"/>
        <v>0</v>
      </c>
      <c r="AC496" s="1293">
        <f t="shared" si="470"/>
        <v>0</v>
      </c>
      <c r="AD496" s="1293">
        <f t="shared" si="476"/>
        <v>0</v>
      </c>
      <c r="AE496" s="1293">
        <f t="shared" si="469"/>
        <v>0</v>
      </c>
      <c r="AF496" s="1294"/>
      <c r="AG496" s="1294"/>
      <c r="AH496" s="1294">
        <f t="shared" si="471"/>
        <v>0</v>
      </c>
      <c r="AI496" s="1294">
        <f t="shared" si="492"/>
        <v>0</v>
      </c>
      <c r="AJ496" s="1293">
        <f t="shared" si="477"/>
        <v>0</v>
      </c>
      <c r="AK496" s="1294"/>
      <c r="AL496" s="1294"/>
      <c r="AM496" s="1294"/>
      <c r="AN496" s="1294"/>
      <c r="AO496" s="1294"/>
      <c r="AP496" s="1294"/>
      <c r="AQ496" s="1294">
        <f>W496</f>
        <v>5000</v>
      </c>
      <c r="AR496" s="1294">
        <f t="shared" si="488"/>
        <v>0</v>
      </c>
      <c r="AS496" s="1136">
        <f>W501</f>
        <v>218000</v>
      </c>
      <c r="AT496" s="668">
        <f t="shared" ref="AT496:AT527" si="502">T500+U500+V500-W501</f>
        <v>34320</v>
      </c>
      <c r="AU496" s="463">
        <f>SUM(W502)</f>
        <v>150000</v>
      </c>
      <c r="AV496" s="468">
        <f t="shared" si="485"/>
        <v>34320</v>
      </c>
      <c r="AW496" s="468">
        <f t="shared" si="500"/>
        <v>183680</v>
      </c>
      <c r="AX496" s="463"/>
      <c r="AY496" s="463"/>
      <c r="AZ496" s="463"/>
      <c r="BA496" s="463"/>
      <c r="BB496" s="463"/>
      <c r="BC496" s="437">
        <f t="shared" si="491"/>
        <v>82000</v>
      </c>
      <c r="BD496" s="437"/>
      <c r="BE496">
        <f t="shared" si="482"/>
        <v>3000</v>
      </c>
      <c r="BF496" s="437">
        <f t="shared" si="481"/>
        <v>2895.0458715596328</v>
      </c>
      <c r="BG496" s="209">
        <f>W502</f>
        <v>150000</v>
      </c>
    </row>
    <row r="497" spans="1:59" ht="39" customHeight="1">
      <c r="A497" s="1572"/>
      <c r="B497" s="1622"/>
      <c r="C497" s="1622"/>
      <c r="D497" s="1373">
        <v>111</v>
      </c>
      <c r="E497" s="1383"/>
      <c r="F497" s="1827" t="s">
        <v>195</v>
      </c>
      <c r="G497" s="1875" t="s">
        <v>572</v>
      </c>
      <c r="H497" s="1385">
        <v>2000</v>
      </c>
      <c r="I497" s="1599"/>
      <c r="J497" s="1599"/>
      <c r="K497" s="1691">
        <v>2000</v>
      </c>
      <c r="L497" s="1623">
        <v>5000</v>
      </c>
      <c r="M497" s="1321"/>
      <c r="N497" s="1322"/>
      <c r="O497" s="1375">
        <f>SUM(L497:N497)</f>
        <v>5000</v>
      </c>
      <c r="P497" s="1623">
        <v>10000</v>
      </c>
      <c r="Q497" s="1321"/>
      <c r="R497" s="1322"/>
      <c r="S497" s="1375">
        <f>SUM(P497:R497)</f>
        <v>10000</v>
      </c>
      <c r="T497" s="1623">
        <v>5000</v>
      </c>
      <c r="U497" s="1321"/>
      <c r="V497" s="1322"/>
      <c r="W497" s="1375">
        <f>SUM(T497:V497)</f>
        <v>5000</v>
      </c>
      <c r="X497" s="1578">
        <f t="shared" si="475"/>
        <v>100</v>
      </c>
      <c r="Y497" s="2457"/>
      <c r="Z497" s="1136"/>
      <c r="AA497" s="1136"/>
      <c r="AB497" s="1293">
        <f t="shared" si="468"/>
        <v>0</v>
      </c>
      <c r="AC497" s="1293">
        <f t="shared" si="470"/>
        <v>0</v>
      </c>
      <c r="AD497" s="1293">
        <f t="shared" si="476"/>
        <v>0</v>
      </c>
      <c r="AE497" s="1293">
        <f t="shared" si="469"/>
        <v>0</v>
      </c>
      <c r="AF497" s="1294"/>
      <c r="AG497" s="1294"/>
      <c r="AH497" s="1294">
        <f t="shared" si="471"/>
        <v>0</v>
      </c>
      <c r="AI497" s="1294">
        <f t="shared" si="492"/>
        <v>0</v>
      </c>
      <c r="AJ497" s="1293">
        <f t="shared" si="477"/>
        <v>0</v>
      </c>
      <c r="AK497" s="1294"/>
      <c r="AL497" s="1294"/>
      <c r="AM497" s="1294"/>
      <c r="AN497" s="1294"/>
      <c r="AO497" s="1294"/>
      <c r="AP497" s="1294"/>
      <c r="AQ497" s="1294"/>
      <c r="AR497" s="1294">
        <f t="shared" si="488"/>
        <v>0</v>
      </c>
      <c r="AS497" s="1136"/>
      <c r="AT497" s="668">
        <f t="shared" si="502"/>
        <v>68000</v>
      </c>
      <c r="AU497" s="463"/>
      <c r="AV497" s="468">
        <f t="shared" si="485"/>
        <v>68000</v>
      </c>
      <c r="AW497" s="468">
        <f t="shared" si="500"/>
        <v>82000</v>
      </c>
      <c r="AX497" s="272"/>
      <c r="AY497" s="272"/>
      <c r="AZ497" s="272"/>
      <c r="BA497" s="272"/>
      <c r="BB497" s="272"/>
      <c r="BC497" s="437">
        <f t="shared" si="491"/>
        <v>33680</v>
      </c>
      <c r="BD497" s="437"/>
      <c r="BE497">
        <f t="shared" si="482"/>
        <v>6.2730627306273057</v>
      </c>
      <c r="BF497" s="437">
        <f t="shared" si="481"/>
        <v>-93.726937269372698</v>
      </c>
    </row>
    <row r="498" spans="1:59" s="289" customFormat="1" ht="39" customHeight="1">
      <c r="A498" s="1661" t="s">
        <v>573</v>
      </c>
      <c r="B498" s="1618"/>
      <c r="C498" s="1618"/>
      <c r="D498" s="1596">
        <v>111</v>
      </c>
      <c r="E498" s="1596" t="s">
        <v>206</v>
      </c>
      <c r="F498" s="1811">
        <v>614000</v>
      </c>
      <c r="G498" s="1877" t="s">
        <v>574</v>
      </c>
      <c r="H498" s="1619">
        <f t="shared" ref="H498:K498" si="503">SUM(H500,H509,H511,H528:H529)</f>
        <v>345980</v>
      </c>
      <c r="I498" s="1619">
        <f t="shared" si="503"/>
        <v>245000</v>
      </c>
      <c r="J498" s="1619">
        <f t="shared" si="503"/>
        <v>0</v>
      </c>
      <c r="K498" s="1585">
        <f t="shared" si="503"/>
        <v>345980</v>
      </c>
      <c r="L498" s="1620">
        <f>SUM(L500,L509,L511,L528:L529)</f>
        <v>333250</v>
      </c>
      <c r="M498" s="1313">
        <f>SUM(M500,M509,M511,M527)</f>
        <v>685750</v>
      </c>
      <c r="N498" s="1314">
        <f>SUM(N500,N509,N511,N528:N529)</f>
        <v>65000</v>
      </c>
      <c r="O498" s="1335">
        <f>SUM(O500,O509,O511,O527,)</f>
        <v>1084000</v>
      </c>
      <c r="P498" s="1620">
        <f>SUM(P500,P509,P511,P528:P529)</f>
        <v>388120</v>
      </c>
      <c r="Q498" s="1313">
        <f>SUM(Q500,Q509,Q511,Q527)</f>
        <v>450000</v>
      </c>
      <c r="R498" s="1314">
        <f>SUM(R500,R509,R511,R528:R529)</f>
        <v>95000</v>
      </c>
      <c r="S498" s="1335">
        <f>SUM(S500,S509,S511,S527,)</f>
        <v>931230</v>
      </c>
      <c r="T498" s="1620">
        <f>SUM(T500,T509,T511,T528:T529)</f>
        <v>331970</v>
      </c>
      <c r="U498" s="1313">
        <f>SUM(U500,U509,U511,U527)</f>
        <v>400000</v>
      </c>
      <c r="V498" s="1314">
        <f>SUM(V500,V509,V511,V528:V529)</f>
        <v>95000</v>
      </c>
      <c r="W498" s="1335">
        <f>SUM(W500,W509,W511,W527,)</f>
        <v>826970</v>
      </c>
      <c r="X498" s="1598">
        <f t="shared" si="475"/>
        <v>76.288745387453872</v>
      </c>
      <c r="Y498" s="758">
        <f>'[1]PRIH REBALANS'!$AK$1114</f>
        <v>826970</v>
      </c>
      <c r="Z498" s="1135"/>
      <c r="AA498" s="1135">
        <f>'[9]PRIH REBALANS'!$AK$1114</f>
        <v>826970</v>
      </c>
      <c r="AB498" s="1293">
        <f t="shared" si="468"/>
        <v>0</v>
      </c>
      <c r="AC498" s="1293">
        <f t="shared" si="470"/>
        <v>0</v>
      </c>
      <c r="AD498" s="1293">
        <f t="shared" si="476"/>
        <v>-257030</v>
      </c>
      <c r="AE498" s="1293">
        <f t="shared" si="469"/>
        <v>0</v>
      </c>
      <c r="AF498" s="1293"/>
      <c r="AG498" s="1293"/>
      <c r="AH498" s="1294">
        <f t="shared" si="471"/>
        <v>-1280</v>
      </c>
      <c r="AI498" s="1294">
        <f t="shared" si="492"/>
        <v>0</v>
      </c>
      <c r="AJ498" s="1293">
        <f t="shared" si="477"/>
        <v>0</v>
      </c>
      <c r="AK498" s="1294"/>
      <c r="AL498" s="1294"/>
      <c r="AM498" s="1294"/>
      <c r="AN498" s="1294"/>
      <c r="AO498" s="1294"/>
      <c r="AP498" s="1294"/>
      <c r="AQ498" s="1294">
        <f>SUM(AQ501,AQ504,AQ509,AQ511,AQ527)</f>
        <v>826970</v>
      </c>
      <c r="AR498" s="1294">
        <f t="shared" si="488"/>
        <v>0</v>
      </c>
      <c r="AS498" s="1135">
        <f>SUM(AS501,AS504,AS509,AS511,AS527)</f>
        <v>143220</v>
      </c>
      <c r="AT498" s="668">
        <f t="shared" si="502"/>
        <v>82000</v>
      </c>
      <c r="AU498" s="668">
        <f>SUM(AU501,AU504,AU509,AU511,AU527)</f>
        <v>893971.19000000006</v>
      </c>
      <c r="AV498" s="468">
        <f>'[3]PRIH REBALANS'!$AK$1126</f>
        <v>1084000.94</v>
      </c>
      <c r="AW498" s="468">
        <f t="shared" si="500"/>
        <v>-1016000.94</v>
      </c>
      <c r="AX498" s="668"/>
      <c r="AY498" s="668"/>
      <c r="AZ498" s="668"/>
      <c r="BA498" s="668"/>
      <c r="BB498" s="668"/>
      <c r="BC498" s="437">
        <f t="shared" si="491"/>
        <v>32120</v>
      </c>
      <c r="BD498" s="437">
        <f>'[2]PRIH REBALANS'!$AK$1126</f>
        <v>1084000.94</v>
      </c>
      <c r="BE498" t="e">
        <f t="shared" si="482"/>
        <v>#DIV/0!</v>
      </c>
      <c r="BF498" s="437" t="e">
        <f t="shared" si="481"/>
        <v>#DIV/0!</v>
      </c>
      <c r="BG498" s="453">
        <f>SUM(BG501:BG511,W532)</f>
        <v>77270</v>
      </c>
    </row>
    <row r="499" spans="1:59" s="289" customFormat="1" ht="39" customHeight="1">
      <c r="A499" s="1661"/>
      <c r="B499" s="1618"/>
      <c r="C499" s="1618"/>
      <c r="D499" s="1596"/>
      <c r="E499" s="1596"/>
      <c r="F499" s="1811"/>
      <c r="G499" s="1878" t="s">
        <v>268</v>
      </c>
      <c r="H499" s="1619">
        <v>9</v>
      </c>
      <c r="I499" s="1619"/>
      <c r="J499" s="1619"/>
      <c r="K499" s="1585">
        <v>9</v>
      </c>
      <c r="L499" s="1620"/>
      <c r="M499" s="1313"/>
      <c r="N499" s="1314"/>
      <c r="O499" s="1335"/>
      <c r="P499" s="1620"/>
      <c r="Q499" s="1313"/>
      <c r="R499" s="1314"/>
      <c r="S499" s="1335"/>
      <c r="T499" s="1620"/>
      <c r="U499" s="1313"/>
      <c r="V499" s="1314"/>
      <c r="W499" s="1315"/>
      <c r="X499" s="1598"/>
      <c r="Y499" s="758"/>
      <c r="Z499" s="1135"/>
      <c r="AA499" s="1135"/>
      <c r="AB499" s="1293">
        <f t="shared" si="468"/>
        <v>0</v>
      </c>
      <c r="AC499" s="1293">
        <f t="shared" si="470"/>
        <v>0</v>
      </c>
      <c r="AD499" s="1293">
        <f t="shared" si="476"/>
        <v>0</v>
      </c>
      <c r="AE499" s="1293">
        <f t="shared" si="469"/>
        <v>0</v>
      </c>
      <c r="AF499" s="1293"/>
      <c r="AG499" s="1293"/>
      <c r="AH499" s="1294">
        <f t="shared" si="471"/>
        <v>0</v>
      </c>
      <c r="AI499" s="1294">
        <f t="shared" si="492"/>
        <v>0</v>
      </c>
      <c r="AJ499" s="1293">
        <f t="shared" si="477"/>
        <v>0</v>
      </c>
      <c r="AK499" s="1294"/>
      <c r="AL499" s="1294"/>
      <c r="AM499" s="1294"/>
      <c r="AN499" s="1294"/>
      <c r="AO499" s="1294"/>
      <c r="AP499" s="1294"/>
      <c r="AQ499" s="1294"/>
      <c r="AR499" s="1294">
        <f t="shared" si="488"/>
        <v>0</v>
      </c>
      <c r="AS499" s="1135"/>
      <c r="AT499" s="668">
        <f t="shared" si="502"/>
        <v>33680</v>
      </c>
      <c r="AU499" s="668"/>
      <c r="AV499" s="468">
        <f t="shared" ref="AV499:AV531" si="504">T503+U503+V503-W504</f>
        <v>33680</v>
      </c>
      <c r="AW499" s="468">
        <f t="shared" si="500"/>
        <v>640</v>
      </c>
      <c r="AX499" s="668"/>
      <c r="AY499" s="668"/>
      <c r="AZ499" s="668"/>
      <c r="BA499" s="668"/>
      <c r="BB499" s="668"/>
      <c r="BC499" s="437">
        <f t="shared" si="491"/>
        <v>-14800</v>
      </c>
      <c r="BD499" s="437"/>
      <c r="BE499">
        <f t="shared" si="482"/>
        <v>0.87754287993617863</v>
      </c>
      <c r="BF499" s="437">
        <f t="shared" si="481"/>
        <v>-135.12245712006381</v>
      </c>
    </row>
    <row r="500" spans="1:59" ht="39" customHeight="1">
      <c r="A500" s="1572"/>
      <c r="B500" s="1573"/>
      <c r="C500" s="1573"/>
      <c r="D500" s="1373">
        <v>111</v>
      </c>
      <c r="E500" s="1373"/>
      <c r="F500" s="1825">
        <v>611000</v>
      </c>
      <c r="G500" s="1848" t="s">
        <v>693</v>
      </c>
      <c r="H500" s="1380">
        <f t="shared" ref="H500:O500" si="505">SUM(H501,H504)</f>
        <v>246630</v>
      </c>
      <c r="I500" s="1380">
        <f t="shared" si="505"/>
        <v>0</v>
      </c>
      <c r="J500" s="1380">
        <f t="shared" si="505"/>
        <v>0</v>
      </c>
      <c r="K500" s="1381">
        <f t="shared" si="505"/>
        <v>246630</v>
      </c>
      <c r="L500" s="1601">
        <f t="shared" si="505"/>
        <v>250700</v>
      </c>
      <c r="M500" s="1303">
        <f t="shared" si="505"/>
        <v>0</v>
      </c>
      <c r="N500" s="1304">
        <f t="shared" si="505"/>
        <v>0</v>
      </c>
      <c r="O500" s="1336">
        <f t="shared" si="505"/>
        <v>250700</v>
      </c>
      <c r="P500" s="1601">
        <f t="shared" ref="P500:W500" si="506">SUM(P501,P504)</f>
        <v>297120</v>
      </c>
      <c r="Q500" s="1303">
        <f t="shared" si="506"/>
        <v>0</v>
      </c>
      <c r="R500" s="1304">
        <f t="shared" si="506"/>
        <v>0</v>
      </c>
      <c r="S500" s="1336">
        <f t="shared" si="506"/>
        <v>295230</v>
      </c>
      <c r="T500" s="1601">
        <f t="shared" si="506"/>
        <v>252320</v>
      </c>
      <c r="U500" s="1303">
        <f t="shared" si="506"/>
        <v>0</v>
      </c>
      <c r="V500" s="1304">
        <f t="shared" si="506"/>
        <v>0</v>
      </c>
      <c r="W500" s="1336">
        <f t="shared" si="506"/>
        <v>252320</v>
      </c>
      <c r="X500" s="1578">
        <f t="shared" si="475"/>
        <v>100.64619066613483</v>
      </c>
      <c r="Y500" s="2457"/>
      <c r="Z500" s="1136"/>
      <c r="AA500" s="1136"/>
      <c r="AB500" s="1293">
        <f t="shared" si="468"/>
        <v>0</v>
      </c>
      <c r="AC500" s="1293">
        <f t="shared" si="470"/>
        <v>0</v>
      </c>
      <c r="AD500" s="1293">
        <f t="shared" si="476"/>
        <v>1620</v>
      </c>
      <c r="AE500" s="1293">
        <f t="shared" si="469"/>
        <v>0</v>
      </c>
      <c r="AF500" s="1294"/>
      <c r="AG500" s="1294"/>
      <c r="AH500" s="1294">
        <f t="shared" si="471"/>
        <v>1620</v>
      </c>
      <c r="AI500" s="1294">
        <f t="shared" si="492"/>
        <v>0</v>
      </c>
      <c r="AJ500" s="1293">
        <f t="shared" si="477"/>
        <v>0</v>
      </c>
      <c r="AK500" s="1294"/>
      <c r="AL500" s="1294"/>
      <c r="AM500" s="1294"/>
      <c r="AN500" s="1294"/>
      <c r="AO500" s="1294"/>
      <c r="AP500" s="1294"/>
      <c r="AQ500" s="1294"/>
      <c r="AR500" s="1294">
        <f t="shared" si="488"/>
        <v>0</v>
      </c>
      <c r="AS500" s="1136"/>
      <c r="AT500" s="668">
        <f t="shared" si="502"/>
        <v>32120</v>
      </c>
      <c r="AU500" s="463"/>
      <c r="AV500" s="468">
        <f t="shared" si="504"/>
        <v>32120</v>
      </c>
      <c r="AW500" s="468">
        <f t="shared" si="500"/>
        <v>-29920</v>
      </c>
      <c r="AX500" s="463"/>
      <c r="AY500" s="463"/>
      <c r="AZ500" s="463"/>
      <c r="BA500" s="463"/>
      <c r="BB500" s="463"/>
      <c r="BC500" s="437">
        <f t="shared" si="491"/>
        <v>10880</v>
      </c>
      <c r="BD500" s="437"/>
      <c r="BE500">
        <f t="shared" si="482"/>
        <v>7.7981651376146797</v>
      </c>
      <c r="BF500" s="437">
        <f t="shared" si="481"/>
        <v>-92.201834862385326</v>
      </c>
    </row>
    <row r="501" spans="1:59" ht="39" customHeight="1">
      <c r="A501" s="1572"/>
      <c r="B501" s="1573"/>
      <c r="C501" s="1573"/>
      <c r="D501" s="1373">
        <v>111</v>
      </c>
      <c r="E501" s="1373"/>
      <c r="F501" s="1825" t="s">
        <v>166</v>
      </c>
      <c r="G501" s="1848" t="s">
        <v>657</v>
      </c>
      <c r="H501" s="1380">
        <f t="shared" ref="H501:J501" si="507">SUM(H502:H503)</f>
        <v>218000</v>
      </c>
      <c r="I501" s="1380">
        <f t="shared" si="507"/>
        <v>0</v>
      </c>
      <c r="J501" s="1380">
        <f t="shared" si="507"/>
        <v>0</v>
      </c>
      <c r="K501" s="1381">
        <f t="shared" ref="K501" si="508">SUM(K502:K503)</f>
        <v>218000</v>
      </c>
      <c r="L501" s="1601">
        <f t="shared" ref="L501:O501" si="509">SUM(L502:L503)</f>
        <v>218000</v>
      </c>
      <c r="M501" s="1303">
        <f t="shared" si="509"/>
        <v>0</v>
      </c>
      <c r="N501" s="1304">
        <f t="shared" si="509"/>
        <v>0</v>
      </c>
      <c r="O501" s="1336">
        <f t="shared" si="509"/>
        <v>218000</v>
      </c>
      <c r="P501" s="1601">
        <f t="shared" ref="P501:W501" si="510">SUM(P502:P503)</f>
        <v>246500</v>
      </c>
      <c r="Q501" s="1303">
        <f t="shared" si="510"/>
        <v>0</v>
      </c>
      <c r="R501" s="1304">
        <f t="shared" si="510"/>
        <v>0</v>
      </c>
      <c r="S501" s="1336">
        <f t="shared" si="510"/>
        <v>246500</v>
      </c>
      <c r="T501" s="1601">
        <f t="shared" si="510"/>
        <v>218000</v>
      </c>
      <c r="U501" s="1303">
        <f t="shared" si="510"/>
        <v>0</v>
      </c>
      <c r="V501" s="1304">
        <f t="shared" si="510"/>
        <v>0</v>
      </c>
      <c r="W501" s="1336">
        <f t="shared" si="510"/>
        <v>218000</v>
      </c>
      <c r="X501" s="1578">
        <f t="shared" si="475"/>
        <v>100</v>
      </c>
      <c r="Y501" s="2457">
        <f>'[1]PRIH REBALANS'!$AK$1117</f>
        <v>218000</v>
      </c>
      <c r="Z501" s="1136"/>
      <c r="AA501" s="1136"/>
      <c r="AB501" s="1293">
        <f t="shared" si="468"/>
        <v>0</v>
      </c>
      <c r="AC501" s="1293">
        <f t="shared" si="470"/>
        <v>0</v>
      </c>
      <c r="AD501" s="1293">
        <f t="shared" si="476"/>
        <v>0</v>
      </c>
      <c r="AE501" s="1293">
        <f t="shared" si="469"/>
        <v>0</v>
      </c>
      <c r="AF501" s="1294"/>
      <c r="AG501" s="1294"/>
      <c r="AH501" s="1294">
        <f t="shared" si="471"/>
        <v>0</v>
      </c>
      <c r="AI501" s="1294">
        <f t="shared" si="492"/>
        <v>0</v>
      </c>
      <c r="AJ501" s="1293">
        <f t="shared" si="477"/>
        <v>0</v>
      </c>
      <c r="AK501" s="1294"/>
      <c r="AL501" s="1294"/>
      <c r="AM501" s="1294"/>
      <c r="AN501" s="1294"/>
      <c r="AO501" s="1294"/>
      <c r="AP501" s="1294"/>
      <c r="AQ501" s="1294">
        <f>SUM(W502:W503)</f>
        <v>218000</v>
      </c>
      <c r="AR501" s="1294">
        <f t="shared" si="488"/>
        <v>0</v>
      </c>
      <c r="AS501" s="1136">
        <f>W507+W508</f>
        <v>15120</v>
      </c>
      <c r="AT501" s="668">
        <f t="shared" si="502"/>
        <v>-14800</v>
      </c>
      <c r="AU501" s="463">
        <f>SUM(W507:W508)</f>
        <v>15120</v>
      </c>
      <c r="AV501" s="468">
        <f t="shared" si="504"/>
        <v>-14800</v>
      </c>
      <c r="AW501" s="468">
        <f t="shared" si="500"/>
        <v>31800</v>
      </c>
      <c r="AX501" s="463"/>
      <c r="AY501" s="463"/>
      <c r="AZ501" s="463"/>
      <c r="BA501" s="463"/>
      <c r="BB501" s="463"/>
      <c r="BC501" s="437">
        <f t="shared" si="491"/>
        <v>-2880</v>
      </c>
      <c r="BD501" s="437"/>
      <c r="BE501" s="585">
        <v>150000</v>
      </c>
      <c r="BF501" s="437">
        <f t="shared" si="481"/>
        <v>149900</v>
      </c>
      <c r="BG501" s="209">
        <f>SUM(W507:W508)</f>
        <v>15120</v>
      </c>
    </row>
    <row r="502" spans="1:59" ht="39" customHeight="1">
      <c r="A502" s="1572"/>
      <c r="B502" s="1573"/>
      <c r="C502" s="1573"/>
      <c r="D502" s="1373">
        <v>111</v>
      </c>
      <c r="E502" s="1373" t="s">
        <v>206</v>
      </c>
      <c r="F502" s="1796" t="s">
        <v>209</v>
      </c>
      <c r="G502" s="1837" t="s">
        <v>676</v>
      </c>
      <c r="H502" s="1575">
        <v>150000</v>
      </c>
      <c r="I502" s="1380"/>
      <c r="J502" s="1380"/>
      <c r="K502" s="1374">
        <v>150000</v>
      </c>
      <c r="L502" s="1577">
        <v>150000</v>
      </c>
      <c r="M502" s="1303"/>
      <c r="N502" s="1304"/>
      <c r="O502" s="1375">
        <v>150000</v>
      </c>
      <c r="P502" s="1577">
        <v>170000</v>
      </c>
      <c r="Q502" s="1303"/>
      <c r="R502" s="1304"/>
      <c r="S502" s="1375">
        <f>SUM(P502:R502)</f>
        <v>170000</v>
      </c>
      <c r="T502" s="1577">
        <v>150000</v>
      </c>
      <c r="U502" s="1303"/>
      <c r="V502" s="1304"/>
      <c r="W502" s="1375">
        <f>SUM(T502:V502)</f>
        <v>150000</v>
      </c>
      <c r="X502" s="1578">
        <f t="shared" si="475"/>
        <v>100</v>
      </c>
      <c r="Y502" s="2457"/>
      <c r="Z502" s="1136"/>
      <c r="AA502" s="1136"/>
      <c r="AB502" s="1293">
        <f t="shared" si="468"/>
        <v>0</v>
      </c>
      <c r="AC502" s="1293">
        <f t="shared" si="470"/>
        <v>0</v>
      </c>
      <c r="AD502" s="1293">
        <f t="shared" si="476"/>
        <v>0</v>
      </c>
      <c r="AE502" s="1293">
        <f t="shared" si="469"/>
        <v>0</v>
      </c>
      <c r="AF502" s="1294"/>
      <c r="AG502" s="1294"/>
      <c r="AH502" s="1294">
        <f t="shared" si="471"/>
        <v>0</v>
      </c>
      <c r="AI502" s="1294">
        <f t="shared" si="492"/>
        <v>0</v>
      </c>
      <c r="AJ502" s="1293">
        <f t="shared" si="477"/>
        <v>0</v>
      </c>
      <c r="AK502" s="1294"/>
      <c r="AL502" s="1294"/>
      <c r="AM502" s="1294"/>
      <c r="AN502" s="1294"/>
      <c r="AO502" s="1294"/>
      <c r="AP502" s="1294"/>
      <c r="AQ502" s="1294"/>
      <c r="AR502" s="1294">
        <f t="shared" si="488"/>
        <v>0</v>
      </c>
      <c r="AS502" s="1136"/>
      <c r="AT502" s="668">
        <f t="shared" si="502"/>
        <v>10880</v>
      </c>
      <c r="AU502" s="463"/>
      <c r="AV502" s="468">
        <f t="shared" si="504"/>
        <v>10880</v>
      </c>
      <c r="AW502" s="468">
        <f t="shared" si="500"/>
        <v>-4760</v>
      </c>
      <c r="AX502" s="272"/>
      <c r="AY502" s="272"/>
      <c r="AZ502" s="272"/>
      <c r="BA502" s="272"/>
      <c r="BB502" s="272"/>
      <c r="BC502" s="437">
        <f t="shared" si="491"/>
        <v>-14000</v>
      </c>
      <c r="BD502" s="437"/>
      <c r="BE502" s="585">
        <v>68000</v>
      </c>
      <c r="BF502" s="437">
        <f t="shared" si="481"/>
        <v>67900</v>
      </c>
    </row>
    <row r="503" spans="1:59" ht="39" customHeight="1">
      <c r="A503" s="1572"/>
      <c r="B503" s="1573"/>
      <c r="C503" s="1573"/>
      <c r="D503" s="1373">
        <v>111</v>
      </c>
      <c r="E503" s="1373" t="s">
        <v>206</v>
      </c>
      <c r="F503" s="1796" t="s">
        <v>211</v>
      </c>
      <c r="G503" s="1838" t="s">
        <v>659</v>
      </c>
      <c r="H503" s="1575">
        <v>68000</v>
      </c>
      <c r="I503" s="1380"/>
      <c r="J503" s="1380"/>
      <c r="K503" s="1374">
        <v>68000</v>
      </c>
      <c r="L503" s="1577">
        <v>68000</v>
      </c>
      <c r="M503" s="1303"/>
      <c r="N503" s="1304"/>
      <c r="O503" s="1375">
        <v>68000</v>
      </c>
      <c r="P503" s="1577">
        <v>76500</v>
      </c>
      <c r="Q503" s="1303"/>
      <c r="R503" s="1304"/>
      <c r="S503" s="1375">
        <f>SUM(P503)</f>
        <v>76500</v>
      </c>
      <c r="T503" s="1577">
        <v>68000</v>
      </c>
      <c r="U503" s="1303"/>
      <c r="V503" s="1304"/>
      <c r="W503" s="1375">
        <f>SUM(T503:V503)</f>
        <v>68000</v>
      </c>
      <c r="X503" s="1578">
        <f t="shared" si="475"/>
        <v>100</v>
      </c>
      <c r="Y503" s="2457"/>
      <c r="Z503" s="1136"/>
      <c r="AA503" s="1136"/>
      <c r="AB503" s="1293">
        <f t="shared" si="468"/>
        <v>0</v>
      </c>
      <c r="AC503" s="1293">
        <f t="shared" si="470"/>
        <v>0</v>
      </c>
      <c r="AD503" s="1293">
        <f t="shared" si="476"/>
        <v>0</v>
      </c>
      <c r="AE503" s="1293">
        <f t="shared" si="469"/>
        <v>0</v>
      </c>
      <c r="AF503" s="1294"/>
      <c r="AG503" s="1294"/>
      <c r="AH503" s="1294">
        <f t="shared" si="471"/>
        <v>0</v>
      </c>
      <c r="AI503" s="1294">
        <f t="shared" si="492"/>
        <v>0</v>
      </c>
      <c r="AJ503" s="1293">
        <f t="shared" si="477"/>
        <v>0</v>
      </c>
      <c r="AK503" s="1294"/>
      <c r="AL503" s="1294"/>
      <c r="AM503" s="1294"/>
      <c r="AN503" s="1294"/>
      <c r="AO503" s="1294"/>
      <c r="AP503" s="1294"/>
      <c r="AQ503" s="1294"/>
      <c r="AR503" s="1294">
        <f t="shared" si="488"/>
        <v>0</v>
      </c>
      <c r="AS503" s="1136"/>
      <c r="AT503" s="668">
        <f t="shared" si="502"/>
        <v>-2880</v>
      </c>
      <c r="AU503" s="463"/>
      <c r="AV503" s="468">
        <f t="shared" si="504"/>
        <v>-2880</v>
      </c>
      <c r="AW503" s="468">
        <f t="shared" si="500"/>
        <v>11880</v>
      </c>
      <c r="AX503" s="272"/>
      <c r="AY503" s="272"/>
      <c r="AZ503" s="272"/>
      <c r="BA503" s="272"/>
      <c r="BB503" s="272"/>
      <c r="BC503" s="437">
        <f t="shared" si="491"/>
        <v>0</v>
      </c>
      <c r="BD503" s="437"/>
      <c r="BE503" s="209">
        <f>'[2]PRIH REBALANS'!$AK$1132</f>
        <v>32700</v>
      </c>
      <c r="BF503" s="437">
        <f>BE503-X511+SUM(BF504:BF507)</f>
        <v>65305.316223648028</v>
      </c>
    </row>
    <row r="504" spans="1:59" ht="39" customHeight="1">
      <c r="A504" s="1572"/>
      <c r="B504" s="1573"/>
      <c r="C504" s="1573"/>
      <c r="D504" s="1373">
        <v>111</v>
      </c>
      <c r="E504" s="1373"/>
      <c r="F504" s="1825"/>
      <c r="G504" s="1879" t="s">
        <v>213</v>
      </c>
      <c r="H504" s="1380">
        <f t="shared" ref="H504:K504" si="511">SUM(H505:H508)</f>
        <v>28630</v>
      </c>
      <c r="I504" s="1380">
        <f t="shared" si="511"/>
        <v>0</v>
      </c>
      <c r="J504" s="1380">
        <f t="shared" si="511"/>
        <v>0</v>
      </c>
      <c r="K504" s="1381">
        <f t="shared" si="511"/>
        <v>28630</v>
      </c>
      <c r="L504" s="1601">
        <f t="shared" ref="L504:W504" si="512">SUM(L505:L508)</f>
        <v>32700</v>
      </c>
      <c r="M504" s="1303">
        <f t="shared" si="512"/>
        <v>0</v>
      </c>
      <c r="N504" s="1304">
        <f t="shared" si="512"/>
        <v>0</v>
      </c>
      <c r="O504" s="1336">
        <f t="shared" si="512"/>
        <v>32700</v>
      </c>
      <c r="P504" s="1601">
        <f t="shared" si="512"/>
        <v>50620</v>
      </c>
      <c r="Q504" s="1303">
        <f t="shared" si="512"/>
        <v>0</v>
      </c>
      <c r="R504" s="1304">
        <f t="shared" si="512"/>
        <v>0</v>
      </c>
      <c r="S504" s="1336">
        <f t="shared" si="512"/>
        <v>48730</v>
      </c>
      <c r="T504" s="1601">
        <f t="shared" si="512"/>
        <v>34320</v>
      </c>
      <c r="U504" s="1303">
        <f t="shared" si="512"/>
        <v>0</v>
      </c>
      <c r="V504" s="1304">
        <f t="shared" si="512"/>
        <v>0</v>
      </c>
      <c r="W504" s="1336">
        <f t="shared" si="512"/>
        <v>34320</v>
      </c>
      <c r="X504" s="1578">
        <f t="shared" si="475"/>
        <v>104.95412844036697</v>
      </c>
      <c r="Y504" s="2457">
        <f>'[1]PRIH REBALANS'!$AK$1120</f>
        <v>34320</v>
      </c>
      <c r="Z504" s="1136"/>
      <c r="AA504" s="1136"/>
      <c r="AB504" s="1293">
        <f t="shared" si="468"/>
        <v>0</v>
      </c>
      <c r="AC504" s="1293">
        <f t="shared" si="470"/>
        <v>0</v>
      </c>
      <c r="AD504" s="1293">
        <f t="shared" si="476"/>
        <v>1620</v>
      </c>
      <c r="AE504" s="1293">
        <f t="shared" si="469"/>
        <v>0</v>
      </c>
      <c r="AF504" s="1294"/>
      <c r="AG504" s="1294"/>
      <c r="AH504" s="1294">
        <f t="shared" si="471"/>
        <v>1620</v>
      </c>
      <c r="AI504" s="1294">
        <f t="shared" si="492"/>
        <v>0</v>
      </c>
      <c r="AJ504" s="1293">
        <f t="shared" si="477"/>
        <v>0</v>
      </c>
      <c r="AK504" s="1294"/>
      <c r="AL504" s="1294"/>
      <c r="AM504" s="1294"/>
      <c r="AN504" s="1294"/>
      <c r="AO504" s="1294"/>
      <c r="AP504" s="1294"/>
      <c r="AQ504" s="1294">
        <f>SUM(W505:W508)</f>
        <v>34320</v>
      </c>
      <c r="AR504" s="1294">
        <f t="shared" ref="AR504:AR529" si="513">T504+U504+V504-W504</f>
        <v>0</v>
      </c>
      <c r="AS504" s="1136">
        <f>SUM(W511:W513,W510)</f>
        <v>87650</v>
      </c>
      <c r="AT504" s="668">
        <f t="shared" si="502"/>
        <v>-14000</v>
      </c>
      <c r="AU504" s="463">
        <f>SUM(W510:W513)</f>
        <v>87650</v>
      </c>
      <c r="AV504" s="468">
        <f t="shared" si="504"/>
        <v>-14000</v>
      </c>
      <c r="AW504" s="468">
        <f t="shared" si="500"/>
        <v>37000</v>
      </c>
      <c r="AX504" s="463"/>
      <c r="AY504" s="463"/>
      <c r="AZ504" s="463"/>
      <c r="BA504" s="463"/>
      <c r="BB504" s="463"/>
      <c r="BC504" s="437">
        <f t="shared" si="491"/>
        <v>-28650</v>
      </c>
      <c r="BD504" s="437"/>
      <c r="BE504">
        <f t="shared" ref="BE504:BE516" si="514">W510/O505*100</f>
        <v>1045.4545454545455</v>
      </c>
      <c r="BF504" s="434">
        <v>2200</v>
      </c>
      <c r="BG504" s="209">
        <f>SUM(W510:W513)</f>
        <v>87650</v>
      </c>
    </row>
    <row r="505" spans="1:59" ht="39" customHeight="1">
      <c r="A505" s="1572"/>
      <c r="B505" s="1573"/>
      <c r="C505" s="1573"/>
      <c r="D505" s="1373">
        <v>111</v>
      </c>
      <c r="E505" s="1373"/>
      <c r="F505" s="1829">
        <v>611211</v>
      </c>
      <c r="G505" s="1864" t="s">
        <v>740</v>
      </c>
      <c r="H505" s="1575">
        <v>2400</v>
      </c>
      <c r="I505" s="1380"/>
      <c r="J505" s="1380"/>
      <c r="K505" s="1374">
        <v>2400</v>
      </c>
      <c r="L505" s="1577">
        <v>2200</v>
      </c>
      <c r="M505" s="1303"/>
      <c r="N505" s="1304"/>
      <c r="O505" s="1375">
        <f>SUM(L505:N505)</f>
        <v>2200</v>
      </c>
      <c r="P505" s="1577">
        <v>3600</v>
      </c>
      <c r="Q505" s="1303"/>
      <c r="R505" s="1304"/>
      <c r="S505" s="1375">
        <f>SUM(P505:R505)</f>
        <v>3600</v>
      </c>
      <c r="T505" s="1577">
        <v>2200</v>
      </c>
      <c r="U505" s="1303"/>
      <c r="V505" s="1304"/>
      <c r="W505" s="1375">
        <f>SUM(T505:V505)</f>
        <v>2200</v>
      </c>
      <c r="X505" s="1578">
        <f t="shared" si="475"/>
        <v>100</v>
      </c>
      <c r="Y505" s="2457"/>
      <c r="Z505" s="1136"/>
      <c r="AA505" s="1136"/>
      <c r="AB505" s="1293">
        <f t="shared" si="468"/>
        <v>0</v>
      </c>
      <c r="AC505" s="1293">
        <f t="shared" si="470"/>
        <v>0</v>
      </c>
      <c r="AD505" s="1293">
        <f t="shared" si="476"/>
        <v>0</v>
      </c>
      <c r="AE505" s="1293">
        <f t="shared" si="469"/>
        <v>0</v>
      </c>
      <c r="AF505" s="1294"/>
      <c r="AG505" s="1294"/>
      <c r="AH505" s="1294">
        <f t="shared" si="471"/>
        <v>0</v>
      </c>
      <c r="AI505" s="1294">
        <f t="shared" si="492"/>
        <v>0</v>
      </c>
      <c r="AJ505" s="1293">
        <f t="shared" si="477"/>
        <v>0</v>
      </c>
      <c r="AK505" s="1294"/>
      <c r="AL505" s="1294"/>
      <c r="AM505" s="1294"/>
      <c r="AN505" s="1294"/>
      <c r="AO505" s="1294"/>
      <c r="AP505" s="1294"/>
      <c r="AQ505" s="1294"/>
      <c r="AR505" s="1294">
        <f t="shared" si="513"/>
        <v>0</v>
      </c>
      <c r="AS505" s="1136"/>
      <c r="AT505" s="668">
        <f t="shared" si="502"/>
        <v>0</v>
      </c>
      <c r="AU505" s="463"/>
      <c r="AV505" s="468">
        <f t="shared" si="504"/>
        <v>0</v>
      </c>
      <c r="AW505" s="468">
        <f t="shared" si="500"/>
        <v>23000</v>
      </c>
      <c r="AX505" s="272"/>
      <c r="AY505" s="272"/>
      <c r="AZ505" s="272"/>
      <c r="BA505" s="272"/>
      <c r="BB505" s="272"/>
      <c r="BC505" s="437">
        <f t="shared" si="491"/>
        <v>50650</v>
      </c>
      <c r="BD505" s="437"/>
      <c r="BE505">
        <f t="shared" si="514"/>
        <v>303.8235294117647</v>
      </c>
      <c r="BF505" s="434">
        <v>17000</v>
      </c>
      <c r="BG505" s="209">
        <f>BF504-T509</f>
        <v>-20800</v>
      </c>
    </row>
    <row r="506" spans="1:59" ht="39" customHeight="1">
      <c r="A506" s="1572"/>
      <c r="B506" s="1573"/>
      <c r="C506" s="1573"/>
      <c r="D506" s="1373">
        <v>111</v>
      </c>
      <c r="E506" s="1373" t="s">
        <v>206</v>
      </c>
      <c r="F506" s="1829">
        <v>611221</v>
      </c>
      <c r="G506" s="1864" t="s">
        <v>661</v>
      </c>
      <c r="H506" s="1575">
        <v>16000</v>
      </c>
      <c r="I506" s="1380"/>
      <c r="J506" s="1380"/>
      <c r="K506" s="1374">
        <v>16000</v>
      </c>
      <c r="L506" s="1577">
        <v>17000</v>
      </c>
      <c r="M506" s="1303"/>
      <c r="N506" s="1304"/>
      <c r="O506" s="1375">
        <f t="shared" ref="O506:O508" si="515">SUM(L506:N506)</f>
        <v>17000</v>
      </c>
      <c r="P506" s="1577">
        <v>31900</v>
      </c>
      <c r="Q506" s="1303"/>
      <c r="R506" s="1304"/>
      <c r="S506" s="1375">
        <f>SUM(P506)</f>
        <v>31900</v>
      </c>
      <c r="T506" s="1577">
        <v>17000</v>
      </c>
      <c r="U506" s="1303"/>
      <c r="V506" s="1304"/>
      <c r="W506" s="1375">
        <f t="shared" ref="W506:W508" si="516">SUM(T506:V506)</f>
        <v>17000</v>
      </c>
      <c r="X506" s="1578">
        <f t="shared" si="475"/>
        <v>100</v>
      </c>
      <c r="Y506" s="2457"/>
      <c r="Z506" s="1136"/>
      <c r="AA506" s="1136"/>
      <c r="AB506" s="1293">
        <f t="shared" si="468"/>
        <v>0</v>
      </c>
      <c r="AC506" s="1293">
        <f t="shared" si="470"/>
        <v>0</v>
      </c>
      <c r="AD506" s="1293">
        <f t="shared" si="476"/>
        <v>0</v>
      </c>
      <c r="AE506" s="1293">
        <f t="shared" si="469"/>
        <v>0</v>
      </c>
      <c r="AF506" s="1294"/>
      <c r="AG506" s="1294"/>
      <c r="AH506" s="1294">
        <f t="shared" si="471"/>
        <v>0</v>
      </c>
      <c r="AI506" s="1294">
        <f t="shared" si="492"/>
        <v>0</v>
      </c>
      <c r="AJ506" s="1293">
        <f t="shared" si="477"/>
        <v>0</v>
      </c>
      <c r="AK506" s="1294"/>
      <c r="AL506" s="1294"/>
      <c r="AM506" s="1294"/>
      <c r="AN506" s="1294"/>
      <c r="AO506" s="1294"/>
      <c r="AP506" s="1294"/>
      <c r="AQ506" s="1294"/>
      <c r="AR506" s="1294">
        <f t="shared" si="513"/>
        <v>0</v>
      </c>
      <c r="AS506" s="1136"/>
      <c r="AT506" s="668">
        <f t="shared" si="502"/>
        <v>-28650</v>
      </c>
      <c r="AU506" s="463"/>
      <c r="AV506" s="468">
        <f t="shared" si="504"/>
        <v>-28650</v>
      </c>
      <c r="AW506" s="468">
        <f t="shared" si="500"/>
        <v>80300</v>
      </c>
      <c r="AX506" s="272"/>
      <c r="AY506" s="272"/>
      <c r="AZ506" s="272"/>
      <c r="BA506" s="272"/>
      <c r="BB506" s="272"/>
      <c r="BC506" s="437">
        <f t="shared" si="491"/>
        <v>-11000</v>
      </c>
      <c r="BD506" s="437"/>
      <c r="BE506">
        <f t="shared" si="514"/>
        <v>22.222222222222221</v>
      </c>
      <c r="BF506" s="434">
        <v>4500</v>
      </c>
      <c r="BG506" s="209">
        <f>BF505-T510</f>
        <v>-6000</v>
      </c>
    </row>
    <row r="507" spans="1:59" ht="39" customHeight="1">
      <c r="A507" s="1572"/>
      <c r="B507" s="1573"/>
      <c r="C507" s="1573"/>
      <c r="D507" s="1373">
        <v>111</v>
      </c>
      <c r="E507" s="1373"/>
      <c r="F507" s="1829">
        <v>611224</v>
      </c>
      <c r="G507" s="1864" t="s">
        <v>214</v>
      </c>
      <c r="H507" s="1575">
        <v>4230</v>
      </c>
      <c r="I507" s="1380"/>
      <c r="J507" s="1380"/>
      <c r="K507" s="1374">
        <v>4230</v>
      </c>
      <c r="L507" s="1577">
        <v>4500</v>
      </c>
      <c r="M507" s="1303"/>
      <c r="N507" s="1304"/>
      <c r="O507" s="1375">
        <f t="shared" si="515"/>
        <v>4500</v>
      </c>
      <c r="P507" s="1577">
        <v>6120</v>
      </c>
      <c r="Q507" s="1303"/>
      <c r="R507" s="1304"/>
      <c r="S507" s="1375">
        <v>4230</v>
      </c>
      <c r="T507" s="1577">
        <v>6120</v>
      </c>
      <c r="U507" s="1303"/>
      <c r="V507" s="1304"/>
      <c r="W507" s="1375">
        <f t="shared" si="516"/>
        <v>6120</v>
      </c>
      <c r="X507" s="1578">
        <f t="shared" si="475"/>
        <v>136</v>
      </c>
      <c r="Y507" s="2457"/>
      <c r="Z507" s="1136"/>
      <c r="AA507" s="1136"/>
      <c r="AB507" s="1293">
        <f t="shared" si="468"/>
        <v>0</v>
      </c>
      <c r="AC507" s="1293">
        <f t="shared" si="470"/>
        <v>0</v>
      </c>
      <c r="AD507" s="1293">
        <f t="shared" si="476"/>
        <v>1620</v>
      </c>
      <c r="AE507" s="1293">
        <f t="shared" si="469"/>
        <v>0</v>
      </c>
      <c r="AF507" s="1294"/>
      <c r="AG507" s="1294"/>
      <c r="AH507" s="1294">
        <f t="shared" si="471"/>
        <v>1620</v>
      </c>
      <c r="AI507" s="1294">
        <f t="shared" si="492"/>
        <v>0</v>
      </c>
      <c r="AJ507" s="1293">
        <f t="shared" si="477"/>
        <v>0</v>
      </c>
      <c r="AK507" s="1294"/>
      <c r="AL507" s="1294"/>
      <c r="AM507" s="1294"/>
      <c r="AN507" s="1294"/>
      <c r="AO507" s="1294"/>
      <c r="AP507" s="1294"/>
      <c r="AQ507" s="1294"/>
      <c r="AR507" s="1294">
        <f t="shared" si="513"/>
        <v>0</v>
      </c>
      <c r="AS507" s="1136"/>
      <c r="AT507" s="668">
        <f t="shared" si="502"/>
        <v>50650</v>
      </c>
      <c r="AU507" s="463"/>
      <c r="AV507" s="468">
        <f t="shared" si="504"/>
        <v>50650</v>
      </c>
      <c r="AW507" s="468">
        <f t="shared" si="500"/>
        <v>-49650</v>
      </c>
      <c r="AX507" s="272"/>
      <c r="AY507" s="272"/>
      <c r="AZ507" s="272"/>
      <c r="BA507" s="272"/>
      <c r="BB507" s="272"/>
      <c r="BC507" s="437">
        <f t="shared" si="491"/>
        <v>4000</v>
      </c>
      <c r="BD507" s="437"/>
      <c r="BE507">
        <f t="shared" si="514"/>
        <v>133.33333333333331</v>
      </c>
      <c r="BF507" s="434">
        <v>9000</v>
      </c>
      <c r="BG507" s="209">
        <f>BF506-T511</f>
        <v>-47150</v>
      </c>
    </row>
    <row r="508" spans="1:59" ht="39" customHeight="1">
      <c r="A508" s="1572"/>
      <c r="B508" s="1573"/>
      <c r="C508" s="1573"/>
      <c r="D508" s="1373">
        <v>111</v>
      </c>
      <c r="E508" s="1373"/>
      <c r="F508" s="1829">
        <v>611227</v>
      </c>
      <c r="G508" s="1864" t="s">
        <v>215</v>
      </c>
      <c r="H508" s="1575">
        <v>6000</v>
      </c>
      <c r="I508" s="1380"/>
      <c r="J508" s="1380"/>
      <c r="K508" s="1374">
        <v>6000</v>
      </c>
      <c r="L508" s="1577">
        <v>9000</v>
      </c>
      <c r="M508" s="1303"/>
      <c r="N508" s="1304"/>
      <c r="O508" s="1375">
        <f t="shared" si="515"/>
        <v>9000</v>
      </c>
      <c r="P508" s="1577">
        <v>9000</v>
      </c>
      <c r="Q508" s="1303"/>
      <c r="R508" s="1304"/>
      <c r="S508" s="1375">
        <f>SUM(P508)</f>
        <v>9000</v>
      </c>
      <c r="T508" s="1577">
        <v>9000</v>
      </c>
      <c r="U508" s="1303"/>
      <c r="V508" s="1304"/>
      <c r="W508" s="1375">
        <f t="shared" si="516"/>
        <v>9000</v>
      </c>
      <c r="X508" s="1578">
        <f t="shared" si="475"/>
        <v>100</v>
      </c>
      <c r="Y508" s="2457"/>
      <c r="Z508" s="1136"/>
      <c r="AA508" s="1136"/>
      <c r="AB508" s="1293">
        <f t="shared" si="468"/>
        <v>0</v>
      </c>
      <c r="AC508" s="1293">
        <f t="shared" si="470"/>
        <v>0</v>
      </c>
      <c r="AD508" s="1293">
        <f t="shared" si="476"/>
        <v>0</v>
      </c>
      <c r="AE508" s="1293">
        <f t="shared" si="469"/>
        <v>0</v>
      </c>
      <c r="AF508" s="1294"/>
      <c r="AG508" s="1294"/>
      <c r="AH508" s="1294">
        <f t="shared" si="471"/>
        <v>0</v>
      </c>
      <c r="AI508" s="1294">
        <f t="shared" si="492"/>
        <v>0</v>
      </c>
      <c r="AJ508" s="1293">
        <f t="shared" si="477"/>
        <v>0</v>
      </c>
      <c r="AK508" s="1294"/>
      <c r="AL508" s="1294"/>
      <c r="AM508" s="1294"/>
      <c r="AN508" s="1294"/>
      <c r="AO508" s="1294"/>
      <c r="AP508" s="1294"/>
      <c r="AQ508" s="1294"/>
      <c r="AR508" s="1294">
        <f t="shared" si="513"/>
        <v>0</v>
      </c>
      <c r="AS508" s="1136"/>
      <c r="AT508" s="668">
        <f t="shared" si="502"/>
        <v>-11000</v>
      </c>
      <c r="AU508" s="463"/>
      <c r="AV508" s="468">
        <f t="shared" si="504"/>
        <v>-11000</v>
      </c>
      <c r="AW508" s="468">
        <f t="shared" si="500"/>
        <v>23000</v>
      </c>
      <c r="AX508" s="272"/>
      <c r="AY508" s="272"/>
      <c r="AZ508" s="272"/>
      <c r="BA508" s="272"/>
      <c r="BB508" s="272"/>
      <c r="BC508" s="437">
        <f t="shared" si="491"/>
        <v>1500</v>
      </c>
      <c r="BD508" s="437"/>
      <c r="BE508">
        <f t="shared" si="514"/>
        <v>34.782608695652172</v>
      </c>
      <c r="BF508" s="437">
        <f>BE508-X516</f>
        <v>-65.217391304347828</v>
      </c>
      <c r="BG508" s="209">
        <f>BF507-T512</f>
        <v>8000</v>
      </c>
    </row>
    <row r="509" spans="1:59" ht="39" customHeight="1">
      <c r="A509" s="1572"/>
      <c r="B509" s="1573"/>
      <c r="C509" s="1573"/>
      <c r="D509" s="1373">
        <v>111</v>
      </c>
      <c r="E509" s="1373"/>
      <c r="F509" s="1825"/>
      <c r="G509" s="1879" t="s">
        <v>216</v>
      </c>
      <c r="H509" s="1380">
        <f t="shared" ref="H509:K509" si="517">H510</f>
        <v>23000</v>
      </c>
      <c r="I509" s="1380">
        <f t="shared" si="517"/>
        <v>0</v>
      </c>
      <c r="J509" s="1380">
        <f t="shared" si="517"/>
        <v>0</v>
      </c>
      <c r="K509" s="1381">
        <f t="shared" si="517"/>
        <v>23000</v>
      </c>
      <c r="L509" s="1601">
        <f>L510</f>
        <v>23000</v>
      </c>
      <c r="M509" s="1303">
        <f>M510</f>
        <v>0</v>
      </c>
      <c r="N509" s="1304">
        <f>N510</f>
        <v>0</v>
      </c>
      <c r="O509" s="1336">
        <f>SUM(O510)</f>
        <v>23000</v>
      </c>
      <c r="P509" s="1601">
        <f>P510</f>
        <v>29000</v>
      </c>
      <c r="Q509" s="1303">
        <f>Q510</f>
        <v>0</v>
      </c>
      <c r="R509" s="1304">
        <f>R510</f>
        <v>0</v>
      </c>
      <c r="S509" s="1336">
        <f>SUM(S510)</f>
        <v>29000</v>
      </c>
      <c r="T509" s="1601">
        <f>T510</f>
        <v>23000</v>
      </c>
      <c r="U509" s="1303">
        <f>U510</f>
        <v>0</v>
      </c>
      <c r="V509" s="1304">
        <f>V510</f>
        <v>0</v>
      </c>
      <c r="W509" s="1336">
        <f>SUM(W510)</f>
        <v>23000</v>
      </c>
      <c r="X509" s="1578">
        <f t="shared" si="475"/>
        <v>100</v>
      </c>
      <c r="Y509" s="2457">
        <f>'[1]PRIH REBALANS'!$AK$1125</f>
        <v>23000</v>
      </c>
      <c r="Z509" s="1136"/>
      <c r="AA509" s="1136"/>
      <c r="AB509" s="1293">
        <f t="shared" si="468"/>
        <v>0</v>
      </c>
      <c r="AC509" s="1293">
        <f t="shared" si="470"/>
        <v>0</v>
      </c>
      <c r="AD509" s="1293">
        <f t="shared" si="476"/>
        <v>0</v>
      </c>
      <c r="AE509" s="1293">
        <f t="shared" si="469"/>
        <v>0</v>
      </c>
      <c r="AF509" s="1294"/>
      <c r="AG509" s="1294"/>
      <c r="AH509" s="1294">
        <f t="shared" si="471"/>
        <v>0</v>
      </c>
      <c r="AI509" s="1294">
        <f t="shared" si="492"/>
        <v>0</v>
      </c>
      <c r="AJ509" s="1293">
        <f t="shared" si="477"/>
        <v>0</v>
      </c>
      <c r="AK509" s="1294"/>
      <c r="AL509" s="1294"/>
      <c r="AM509" s="1294"/>
      <c r="AN509" s="1294"/>
      <c r="AO509" s="1294"/>
      <c r="AP509" s="1294"/>
      <c r="AQ509" s="1294">
        <f>W510</f>
        <v>23000</v>
      </c>
      <c r="AR509" s="1294">
        <f t="shared" si="513"/>
        <v>0</v>
      </c>
      <c r="AS509" s="1136">
        <f>W515</f>
        <v>6500</v>
      </c>
      <c r="AT509" s="668">
        <f t="shared" si="502"/>
        <v>4000</v>
      </c>
      <c r="AU509" s="463">
        <f>W515</f>
        <v>6500</v>
      </c>
      <c r="AV509" s="468">
        <f t="shared" si="504"/>
        <v>4000</v>
      </c>
      <c r="AW509" s="468">
        <f t="shared" si="500"/>
        <v>4000</v>
      </c>
      <c r="AX509" s="463"/>
      <c r="AY509" s="463"/>
      <c r="AZ509" s="463"/>
      <c r="BA509" s="463"/>
      <c r="BB509" s="463"/>
      <c r="BC509" s="437">
        <f t="shared" ref="BC509:BC527" si="518">T515+U515+V515+-W516</f>
        <v>2500</v>
      </c>
      <c r="BD509" s="437"/>
      <c r="BE509">
        <f t="shared" si="514"/>
        <v>28.260869565217391</v>
      </c>
      <c r="BF509" s="437">
        <f>BE509-X517</f>
        <v>-71.739130434782609</v>
      </c>
      <c r="BG509" s="209">
        <f>SUM(W515)</f>
        <v>6500</v>
      </c>
    </row>
    <row r="510" spans="1:59" ht="39" customHeight="1">
      <c r="A510" s="1572"/>
      <c r="B510" s="1573"/>
      <c r="C510" s="1573"/>
      <c r="D510" s="1373">
        <v>111</v>
      </c>
      <c r="E510" s="1373"/>
      <c r="F510" s="1829">
        <v>612100</v>
      </c>
      <c r="G510" s="1864" t="s">
        <v>216</v>
      </c>
      <c r="H510" s="1575">
        <v>23000</v>
      </c>
      <c r="I510" s="1380"/>
      <c r="J510" s="1380"/>
      <c r="K510" s="1374">
        <v>23000</v>
      </c>
      <c r="L510" s="1577">
        <v>23000</v>
      </c>
      <c r="M510" s="1303"/>
      <c r="N510" s="1304"/>
      <c r="O510" s="1375">
        <f>SUM(L510:N510)</f>
        <v>23000</v>
      </c>
      <c r="P510" s="1577">
        <v>29000</v>
      </c>
      <c r="Q510" s="1303"/>
      <c r="R510" s="1304"/>
      <c r="S510" s="1375">
        <f>SUM(P510:R510)</f>
        <v>29000</v>
      </c>
      <c r="T510" s="1577">
        <v>23000</v>
      </c>
      <c r="U510" s="1303"/>
      <c r="V510" s="1304"/>
      <c r="W510" s="1375">
        <f>SUM(T510:V510)</f>
        <v>23000</v>
      </c>
      <c r="X510" s="1578">
        <f t="shared" si="475"/>
        <v>100</v>
      </c>
      <c r="Y510" s="2457"/>
      <c r="Z510" s="1136"/>
      <c r="AA510" s="1136"/>
      <c r="AB510" s="1293">
        <f t="shared" si="468"/>
        <v>0</v>
      </c>
      <c r="AC510" s="1293">
        <f t="shared" si="470"/>
        <v>0</v>
      </c>
      <c r="AD510" s="1293">
        <f t="shared" si="476"/>
        <v>0</v>
      </c>
      <c r="AE510" s="1293">
        <f t="shared" si="469"/>
        <v>0</v>
      </c>
      <c r="AF510" s="1294"/>
      <c r="AG510" s="1294"/>
      <c r="AH510" s="1294">
        <f t="shared" si="471"/>
        <v>0</v>
      </c>
      <c r="AI510" s="1294">
        <f t="shared" ref="AI510:AI530" si="519">T510+U510+V510-W510</f>
        <v>0</v>
      </c>
      <c r="AJ510" s="1293">
        <f t="shared" si="477"/>
        <v>0</v>
      </c>
      <c r="AK510" s="1294"/>
      <c r="AL510" s="1294"/>
      <c r="AM510" s="1294"/>
      <c r="AN510" s="1294"/>
      <c r="AO510" s="1294"/>
      <c r="AP510" s="1294"/>
      <c r="AQ510" s="1294"/>
      <c r="AR510" s="1294">
        <f t="shared" si="513"/>
        <v>0</v>
      </c>
      <c r="AS510" s="1136"/>
      <c r="AT510" s="668">
        <f t="shared" si="502"/>
        <v>1500</v>
      </c>
      <c r="AU510" s="463"/>
      <c r="AV510" s="468">
        <f t="shared" si="504"/>
        <v>1500</v>
      </c>
      <c r="AW510" s="468">
        <f t="shared" si="500"/>
        <v>5000</v>
      </c>
      <c r="AX510" s="272"/>
      <c r="AY510" s="272"/>
      <c r="AZ510" s="272"/>
      <c r="BA510" s="272"/>
      <c r="BB510" s="272"/>
      <c r="BC510" s="437">
        <f t="shared" si="518"/>
        <v>0</v>
      </c>
      <c r="BD510" s="437"/>
      <c r="BE510">
        <f t="shared" si="514"/>
        <v>7.3327222731439043</v>
      </c>
      <c r="BF510" s="437">
        <f>'[2]PRIH REBALANS'!$AK$1139</f>
        <v>54550</v>
      </c>
    </row>
    <row r="511" spans="1:59" ht="39" customHeight="1">
      <c r="A511" s="1572"/>
      <c r="B511" s="1573"/>
      <c r="C511" s="1573"/>
      <c r="D511" s="1373">
        <v>111</v>
      </c>
      <c r="E511" s="1373" t="s">
        <v>206</v>
      </c>
      <c r="F511" s="1825">
        <v>613000</v>
      </c>
      <c r="G511" s="1879" t="s">
        <v>169</v>
      </c>
      <c r="H511" s="1380">
        <f t="shared" ref="H511:W511" si="520">SUM(H512:H518)</f>
        <v>51750</v>
      </c>
      <c r="I511" s="1380">
        <f t="shared" si="520"/>
        <v>0</v>
      </c>
      <c r="J511" s="1380">
        <f t="shared" si="520"/>
        <v>0</v>
      </c>
      <c r="K511" s="1381">
        <f t="shared" si="520"/>
        <v>51750</v>
      </c>
      <c r="L511" s="1601">
        <f t="shared" si="520"/>
        <v>54550</v>
      </c>
      <c r="M511" s="1303">
        <f t="shared" si="520"/>
        <v>0</v>
      </c>
      <c r="N511" s="1304">
        <f t="shared" si="520"/>
        <v>0</v>
      </c>
      <c r="O511" s="1336">
        <f t="shared" si="520"/>
        <v>54550</v>
      </c>
      <c r="P511" s="1601">
        <f t="shared" ref="P511" si="521">SUM(P512:P518)</f>
        <v>52000</v>
      </c>
      <c r="Q511" s="1303">
        <f t="shared" si="520"/>
        <v>0</v>
      </c>
      <c r="R511" s="1304">
        <f t="shared" si="520"/>
        <v>0</v>
      </c>
      <c r="S511" s="1336">
        <f t="shared" si="520"/>
        <v>52000</v>
      </c>
      <c r="T511" s="1601">
        <f t="shared" si="520"/>
        <v>51650</v>
      </c>
      <c r="U511" s="1303">
        <f t="shared" si="520"/>
        <v>0</v>
      </c>
      <c r="V511" s="1304">
        <f t="shared" si="520"/>
        <v>0</v>
      </c>
      <c r="W511" s="1336">
        <f t="shared" si="520"/>
        <v>51650</v>
      </c>
      <c r="X511" s="1578">
        <f t="shared" si="475"/>
        <v>94.683776351970678</v>
      </c>
      <c r="Y511" s="2457">
        <f>'[1]PRIH REBALANS'!$AK$1127</f>
        <v>51650</v>
      </c>
      <c r="Z511" s="1136"/>
      <c r="AA511" s="1136"/>
      <c r="AB511" s="1293">
        <f t="shared" si="468"/>
        <v>0</v>
      </c>
      <c r="AC511" s="1293">
        <f t="shared" si="470"/>
        <v>0</v>
      </c>
      <c r="AD511" s="1293">
        <f t="shared" si="476"/>
        <v>-2900</v>
      </c>
      <c r="AE511" s="1293">
        <f t="shared" si="469"/>
        <v>0</v>
      </c>
      <c r="AF511" s="1294"/>
      <c r="AG511" s="1294"/>
      <c r="AH511" s="1294">
        <f t="shared" si="471"/>
        <v>-2900</v>
      </c>
      <c r="AI511" s="1294">
        <f t="shared" si="519"/>
        <v>0</v>
      </c>
      <c r="AJ511" s="1293">
        <f t="shared" si="477"/>
        <v>0</v>
      </c>
      <c r="AK511" s="1294"/>
      <c r="AL511" s="1294"/>
      <c r="AM511" s="1294"/>
      <c r="AN511" s="1294"/>
      <c r="AO511" s="1294"/>
      <c r="AP511" s="1294"/>
      <c r="AQ511" s="1294">
        <f>SUM(W512:W518)</f>
        <v>51650</v>
      </c>
      <c r="AR511" s="1294">
        <f t="shared" si="513"/>
        <v>0</v>
      </c>
      <c r="AS511" s="1136">
        <f>SUM(W517:W523)</f>
        <v>33950</v>
      </c>
      <c r="AT511" s="668">
        <f t="shared" si="502"/>
        <v>2500</v>
      </c>
      <c r="AU511" s="463">
        <f>SUM(W517:W523)</f>
        <v>33950</v>
      </c>
      <c r="AV511" s="468">
        <f t="shared" si="504"/>
        <v>2500</v>
      </c>
      <c r="AW511" s="468">
        <f t="shared" si="500"/>
        <v>1500</v>
      </c>
      <c r="AX511" s="463"/>
      <c r="AY511" s="463"/>
      <c r="AZ511" s="463"/>
      <c r="BA511" s="463"/>
      <c r="BB511" s="463"/>
      <c r="BC511" s="437">
        <f t="shared" si="518"/>
        <v>-12150</v>
      </c>
      <c r="BD511" s="437"/>
      <c r="BE511">
        <f t="shared" si="514"/>
        <v>400</v>
      </c>
      <c r="BF511" s="434">
        <v>1000</v>
      </c>
      <c r="BG511" s="209">
        <f>SUM(W517:W523)</f>
        <v>33950</v>
      </c>
    </row>
    <row r="512" spans="1:59" ht="39" customHeight="1">
      <c r="A512" s="1572"/>
      <c r="B512" s="1573"/>
      <c r="C512" s="1573"/>
      <c r="D512" s="1373">
        <v>111</v>
      </c>
      <c r="E512" s="1373"/>
      <c r="F512" s="1829">
        <v>613100</v>
      </c>
      <c r="G512" s="1864" t="s">
        <v>170</v>
      </c>
      <c r="H512" s="1575">
        <v>1000</v>
      </c>
      <c r="I512" s="1380"/>
      <c r="J512" s="1380"/>
      <c r="K512" s="1374">
        <v>1000</v>
      </c>
      <c r="L512" s="1577">
        <v>1000</v>
      </c>
      <c r="M512" s="1303"/>
      <c r="N512" s="1304"/>
      <c r="O512" s="1375">
        <f t="shared" ref="O512:O517" si="522">SUM(L512:N512)</f>
        <v>1000</v>
      </c>
      <c r="P512" s="1577">
        <v>1000</v>
      </c>
      <c r="Q512" s="1303"/>
      <c r="R512" s="1304"/>
      <c r="S512" s="1375">
        <f>SUM(P512:R512)</f>
        <v>1000</v>
      </c>
      <c r="T512" s="1577">
        <v>1000</v>
      </c>
      <c r="U512" s="1303"/>
      <c r="V512" s="1304"/>
      <c r="W512" s="1375">
        <f t="shared" ref="W512:W526" si="523">SUM(T512:V512)</f>
        <v>1000</v>
      </c>
      <c r="X512" s="1578">
        <f t="shared" si="475"/>
        <v>100</v>
      </c>
      <c r="Y512" s="2457"/>
      <c r="Z512" s="1136"/>
      <c r="AA512" s="1136"/>
      <c r="AB512" s="1293">
        <f t="shared" si="468"/>
        <v>0</v>
      </c>
      <c r="AC512" s="1293">
        <f t="shared" si="470"/>
        <v>0</v>
      </c>
      <c r="AD512" s="1293">
        <f t="shared" si="476"/>
        <v>0</v>
      </c>
      <c r="AE512" s="1293">
        <f t="shared" si="469"/>
        <v>0</v>
      </c>
      <c r="AF512" s="1294"/>
      <c r="AG512" s="1294"/>
      <c r="AH512" s="1294">
        <f t="shared" si="471"/>
        <v>0</v>
      </c>
      <c r="AI512" s="1294">
        <f t="shared" si="519"/>
        <v>0</v>
      </c>
      <c r="AJ512" s="1293">
        <f t="shared" si="477"/>
        <v>0</v>
      </c>
      <c r="AK512" s="1294"/>
      <c r="AL512" s="1294"/>
      <c r="AM512" s="1294"/>
      <c r="AN512" s="1294"/>
      <c r="AO512" s="1294"/>
      <c r="AP512" s="1294"/>
      <c r="AQ512" s="1294"/>
      <c r="AR512" s="1294">
        <f t="shared" si="513"/>
        <v>0</v>
      </c>
      <c r="AS512" s="1136"/>
      <c r="AT512" s="668">
        <f t="shared" si="502"/>
        <v>0</v>
      </c>
      <c r="AU512" s="463"/>
      <c r="AV512" s="468">
        <f t="shared" si="504"/>
        <v>0</v>
      </c>
      <c r="AW512" s="468">
        <f t="shared" si="500"/>
        <v>4000</v>
      </c>
      <c r="AX512" s="272"/>
      <c r="AY512" s="272"/>
      <c r="AZ512" s="272"/>
      <c r="BA512" s="272"/>
      <c r="BB512" s="272"/>
      <c r="BC512" s="437">
        <f t="shared" si="518"/>
        <v>15350</v>
      </c>
      <c r="BD512" s="437"/>
      <c r="BE512">
        <f t="shared" si="514"/>
        <v>134.58333333333334</v>
      </c>
      <c r="BF512" s="434">
        <v>12000</v>
      </c>
      <c r="BG512" s="209">
        <f t="shared" ref="BG512:BG517" si="524">BF511-T516</f>
        <v>-3000</v>
      </c>
    </row>
    <row r="513" spans="1:59" ht="39" customHeight="1">
      <c r="A513" s="1572"/>
      <c r="B513" s="1573"/>
      <c r="C513" s="1573"/>
      <c r="D513" s="1373">
        <v>111</v>
      </c>
      <c r="E513" s="1373" t="s">
        <v>206</v>
      </c>
      <c r="F513" s="1829">
        <v>613200</v>
      </c>
      <c r="G513" s="1864" t="s">
        <v>171</v>
      </c>
      <c r="H513" s="1575">
        <v>12000</v>
      </c>
      <c r="I513" s="1380"/>
      <c r="J513" s="1380"/>
      <c r="K513" s="1374">
        <v>12000</v>
      </c>
      <c r="L513" s="1577">
        <v>12000</v>
      </c>
      <c r="M513" s="1303"/>
      <c r="N513" s="1304"/>
      <c r="O513" s="1375">
        <f t="shared" si="522"/>
        <v>12000</v>
      </c>
      <c r="P513" s="1577">
        <v>12000</v>
      </c>
      <c r="Q513" s="1303"/>
      <c r="R513" s="1304"/>
      <c r="S513" s="1375">
        <f>SUM(P513)</f>
        <v>12000</v>
      </c>
      <c r="T513" s="1577">
        <v>12000</v>
      </c>
      <c r="U513" s="1303"/>
      <c r="V513" s="1304"/>
      <c r="W513" s="1375">
        <f t="shared" si="523"/>
        <v>12000</v>
      </c>
      <c r="X513" s="1578">
        <f t="shared" si="475"/>
        <v>100</v>
      </c>
      <c r="Y513" s="2457"/>
      <c r="Z513" s="1136"/>
      <c r="AA513" s="1136"/>
      <c r="AB513" s="1293">
        <f t="shared" si="468"/>
        <v>0</v>
      </c>
      <c r="AC513" s="1293">
        <f t="shared" si="470"/>
        <v>0</v>
      </c>
      <c r="AD513" s="1293">
        <f t="shared" si="476"/>
        <v>0</v>
      </c>
      <c r="AE513" s="1293">
        <f t="shared" si="469"/>
        <v>0</v>
      </c>
      <c r="AF513" s="1294"/>
      <c r="AG513" s="1294"/>
      <c r="AH513" s="1294">
        <f t="shared" si="471"/>
        <v>0</v>
      </c>
      <c r="AI513" s="1294">
        <f t="shared" si="519"/>
        <v>0</v>
      </c>
      <c r="AJ513" s="1293">
        <f t="shared" si="477"/>
        <v>0</v>
      </c>
      <c r="AK513" s="1294"/>
      <c r="AL513" s="1294"/>
      <c r="AM513" s="1294"/>
      <c r="AN513" s="1294"/>
      <c r="AO513" s="1294"/>
      <c r="AP513" s="1294"/>
      <c r="AQ513" s="1294"/>
      <c r="AR513" s="1294">
        <f t="shared" si="513"/>
        <v>0</v>
      </c>
      <c r="AS513" s="1136"/>
      <c r="AT513" s="668">
        <f t="shared" si="502"/>
        <v>-12150</v>
      </c>
      <c r="AU513" s="463"/>
      <c r="AV513" s="468">
        <f t="shared" si="504"/>
        <v>-12150</v>
      </c>
      <c r="AW513" s="468">
        <f t="shared" si="500"/>
        <v>28300</v>
      </c>
      <c r="AX513" s="272"/>
      <c r="AY513" s="272"/>
      <c r="AZ513" s="272"/>
      <c r="BA513" s="272"/>
      <c r="BB513" s="272"/>
      <c r="BC513" s="437">
        <f t="shared" si="518"/>
        <v>300</v>
      </c>
      <c r="BD513" s="437"/>
      <c r="BE513">
        <f t="shared" si="514"/>
        <v>8</v>
      </c>
      <c r="BF513" s="434">
        <v>10000</v>
      </c>
      <c r="BG513" s="209">
        <f t="shared" si="524"/>
        <v>8000</v>
      </c>
    </row>
    <row r="514" spans="1:59" ht="39" customHeight="1">
      <c r="A514" s="1572"/>
      <c r="B514" s="1573"/>
      <c r="C514" s="1573"/>
      <c r="D514" s="1373">
        <v>111</v>
      </c>
      <c r="E514" s="1373"/>
      <c r="F514" s="1829">
        <v>613300</v>
      </c>
      <c r="G514" s="1864" t="s">
        <v>262</v>
      </c>
      <c r="H514" s="1575">
        <v>8000</v>
      </c>
      <c r="I514" s="1380"/>
      <c r="J514" s="1380"/>
      <c r="K514" s="1374">
        <v>8000</v>
      </c>
      <c r="L514" s="1577">
        <v>10000</v>
      </c>
      <c r="M514" s="1303"/>
      <c r="N514" s="1304"/>
      <c r="O514" s="1375">
        <f t="shared" si="522"/>
        <v>10000</v>
      </c>
      <c r="P514" s="1577">
        <v>8000</v>
      </c>
      <c r="Q514" s="1303"/>
      <c r="R514" s="1304"/>
      <c r="S514" s="1375">
        <f>SUM(P514)</f>
        <v>8000</v>
      </c>
      <c r="T514" s="1577">
        <v>8000</v>
      </c>
      <c r="U514" s="1303"/>
      <c r="V514" s="1304"/>
      <c r="W514" s="1375">
        <f t="shared" si="523"/>
        <v>8000</v>
      </c>
      <c r="X514" s="1578">
        <f t="shared" si="475"/>
        <v>80</v>
      </c>
      <c r="Y514" s="2457"/>
      <c r="Z514" s="1136"/>
      <c r="AA514" s="1136"/>
      <c r="AB514" s="1293">
        <f t="shared" si="468"/>
        <v>0</v>
      </c>
      <c r="AC514" s="1293">
        <f t="shared" si="470"/>
        <v>0</v>
      </c>
      <c r="AD514" s="1293">
        <f t="shared" si="476"/>
        <v>-2000</v>
      </c>
      <c r="AE514" s="1293">
        <f t="shared" si="469"/>
        <v>0</v>
      </c>
      <c r="AF514" s="1294"/>
      <c r="AG514" s="1294"/>
      <c r="AH514" s="1294">
        <f t="shared" si="471"/>
        <v>-2000</v>
      </c>
      <c r="AI514" s="1294">
        <f t="shared" si="519"/>
        <v>0</v>
      </c>
      <c r="AJ514" s="1293">
        <f t="shared" si="477"/>
        <v>0</v>
      </c>
      <c r="AK514" s="1294"/>
      <c r="AL514" s="1294"/>
      <c r="AM514" s="1294"/>
      <c r="AN514" s="1294"/>
      <c r="AO514" s="1294"/>
      <c r="AP514" s="1294"/>
      <c r="AQ514" s="1294"/>
      <c r="AR514" s="1294">
        <f t="shared" si="513"/>
        <v>0</v>
      </c>
      <c r="AS514" s="1136"/>
      <c r="AT514" s="668">
        <f t="shared" si="502"/>
        <v>15350</v>
      </c>
      <c r="AU514" s="463"/>
      <c r="AV514" s="468">
        <f t="shared" si="504"/>
        <v>15350</v>
      </c>
      <c r="AW514" s="468">
        <f t="shared" si="500"/>
        <v>-14550</v>
      </c>
      <c r="AX514" s="272"/>
      <c r="AY514" s="272"/>
      <c r="AZ514" s="272"/>
      <c r="BA514" s="272"/>
      <c r="BB514" s="272"/>
      <c r="BC514" s="437">
        <f t="shared" si="518"/>
        <v>-500</v>
      </c>
      <c r="BD514" s="437"/>
      <c r="BE514">
        <f t="shared" si="514"/>
        <v>7.6923076923076925</v>
      </c>
      <c r="BF514" s="434">
        <v>6500</v>
      </c>
      <c r="BG514" s="209">
        <f t="shared" si="524"/>
        <v>-6150</v>
      </c>
    </row>
    <row r="515" spans="1:59" ht="39" customHeight="1">
      <c r="A515" s="1572"/>
      <c r="B515" s="1573"/>
      <c r="C515" s="1573"/>
      <c r="D515" s="1373">
        <v>111</v>
      </c>
      <c r="E515" s="1373"/>
      <c r="F515" s="1829">
        <v>613400</v>
      </c>
      <c r="G515" s="1864" t="s">
        <v>575</v>
      </c>
      <c r="H515" s="1575">
        <v>6500</v>
      </c>
      <c r="I515" s="1380"/>
      <c r="J515" s="1380"/>
      <c r="K515" s="1374">
        <v>6500</v>
      </c>
      <c r="L515" s="1577">
        <v>6500</v>
      </c>
      <c r="M515" s="1303"/>
      <c r="N515" s="1304"/>
      <c r="O515" s="1375">
        <f t="shared" si="522"/>
        <v>6500</v>
      </c>
      <c r="P515" s="1577">
        <v>6500</v>
      </c>
      <c r="Q515" s="1303"/>
      <c r="R515" s="1304"/>
      <c r="S515" s="1375">
        <f>SUM(P515)</f>
        <v>6500</v>
      </c>
      <c r="T515" s="1577">
        <v>6500</v>
      </c>
      <c r="U515" s="1303"/>
      <c r="V515" s="1304"/>
      <c r="W515" s="1375">
        <f t="shared" si="523"/>
        <v>6500</v>
      </c>
      <c r="X515" s="1578">
        <f t="shared" si="475"/>
        <v>100</v>
      </c>
      <c r="Y515" s="2457"/>
      <c r="Z515" s="1136"/>
      <c r="AA515" s="1136"/>
      <c r="AB515" s="1293">
        <f t="shared" si="468"/>
        <v>0</v>
      </c>
      <c r="AC515" s="1293">
        <f t="shared" si="470"/>
        <v>0</v>
      </c>
      <c r="AD515" s="1293">
        <f t="shared" si="476"/>
        <v>0</v>
      </c>
      <c r="AE515" s="1293">
        <f t="shared" si="469"/>
        <v>0</v>
      </c>
      <c r="AF515" s="1294"/>
      <c r="AG515" s="1294"/>
      <c r="AH515" s="1294">
        <f t="shared" si="471"/>
        <v>0</v>
      </c>
      <c r="AI515" s="1294">
        <f t="shared" si="519"/>
        <v>0</v>
      </c>
      <c r="AJ515" s="1293">
        <f t="shared" si="477"/>
        <v>0</v>
      </c>
      <c r="AK515" s="1294"/>
      <c r="AL515" s="1294"/>
      <c r="AM515" s="1294"/>
      <c r="AN515" s="1294"/>
      <c r="AO515" s="1294"/>
      <c r="AP515" s="1294"/>
      <c r="AQ515" s="1294"/>
      <c r="AR515" s="1294">
        <f t="shared" si="513"/>
        <v>0</v>
      </c>
      <c r="AS515" s="1136"/>
      <c r="AT515" s="668">
        <f t="shared" si="502"/>
        <v>300</v>
      </c>
      <c r="AU515" s="463"/>
      <c r="AV515" s="468">
        <f t="shared" si="504"/>
        <v>300</v>
      </c>
      <c r="AW515" s="468">
        <f t="shared" si="500"/>
        <v>200</v>
      </c>
      <c r="AX515" s="272"/>
      <c r="AY515" s="272"/>
      <c r="AZ515" s="272"/>
      <c r="BA515" s="272"/>
      <c r="BB515" s="272"/>
      <c r="BC515" s="437">
        <f t="shared" si="518"/>
        <v>-4000</v>
      </c>
      <c r="BD515" s="437"/>
      <c r="BE515">
        <f t="shared" si="514"/>
        <v>25</v>
      </c>
      <c r="BF515" s="434">
        <v>4000</v>
      </c>
      <c r="BG515" s="209">
        <f t="shared" si="524"/>
        <v>5700</v>
      </c>
    </row>
    <row r="516" spans="1:59" ht="39" customHeight="1">
      <c r="A516" s="1572"/>
      <c r="B516" s="1573"/>
      <c r="C516" s="1573"/>
      <c r="D516" s="1373">
        <v>111</v>
      </c>
      <c r="E516" s="1373"/>
      <c r="F516" s="1829">
        <v>613500</v>
      </c>
      <c r="G516" s="1864" t="s">
        <v>576</v>
      </c>
      <c r="H516" s="1575">
        <v>4000</v>
      </c>
      <c r="I516" s="1380"/>
      <c r="J516" s="1380"/>
      <c r="K516" s="1374">
        <v>4000</v>
      </c>
      <c r="L516" s="1577">
        <v>4000</v>
      </c>
      <c r="M516" s="1303"/>
      <c r="N516" s="1304"/>
      <c r="O516" s="1375">
        <f t="shared" si="522"/>
        <v>4000</v>
      </c>
      <c r="P516" s="1577">
        <v>4000</v>
      </c>
      <c r="Q516" s="1303"/>
      <c r="R516" s="1304"/>
      <c r="S516" s="1375">
        <f>SUM(P516)</f>
        <v>4000</v>
      </c>
      <c r="T516" s="1577">
        <v>4000</v>
      </c>
      <c r="U516" s="1303"/>
      <c r="V516" s="1304"/>
      <c r="W516" s="1375">
        <f t="shared" si="523"/>
        <v>4000</v>
      </c>
      <c r="X516" s="1578">
        <f t="shared" si="475"/>
        <v>100</v>
      </c>
      <c r="Y516" s="2457"/>
      <c r="Z516" s="1136"/>
      <c r="AA516" s="1136"/>
      <c r="AB516" s="1293">
        <f t="shared" ref="AB516:AB529" si="525">T516+U516+V516-W516</f>
        <v>0</v>
      </c>
      <c r="AC516" s="1293">
        <f t="shared" si="470"/>
        <v>0</v>
      </c>
      <c r="AD516" s="1293">
        <f t="shared" si="476"/>
        <v>0</v>
      </c>
      <c r="AE516" s="1293">
        <f t="shared" si="469"/>
        <v>0</v>
      </c>
      <c r="AF516" s="1294"/>
      <c r="AG516" s="1294"/>
      <c r="AH516" s="1294">
        <f t="shared" si="471"/>
        <v>0</v>
      </c>
      <c r="AI516" s="1294">
        <f t="shared" si="519"/>
        <v>0</v>
      </c>
      <c r="AJ516" s="1293">
        <f t="shared" si="477"/>
        <v>0</v>
      </c>
      <c r="AK516" s="1294"/>
      <c r="AL516" s="1294"/>
      <c r="AM516" s="1294"/>
      <c r="AN516" s="1294"/>
      <c r="AO516" s="1294"/>
      <c r="AP516" s="1294"/>
      <c r="AQ516" s="1294"/>
      <c r="AR516" s="1294">
        <f t="shared" si="513"/>
        <v>0</v>
      </c>
      <c r="AS516" s="1136"/>
      <c r="AT516" s="668">
        <f t="shared" si="502"/>
        <v>-500</v>
      </c>
      <c r="AU516" s="463"/>
      <c r="AV516" s="468">
        <f t="shared" si="504"/>
        <v>-500</v>
      </c>
      <c r="AW516" s="468">
        <f t="shared" si="500"/>
        <v>1500</v>
      </c>
      <c r="AX516" s="272"/>
      <c r="AY516" s="272"/>
      <c r="AZ516" s="272"/>
      <c r="BA516" s="272"/>
      <c r="BB516" s="272"/>
      <c r="BC516" s="437">
        <f t="shared" si="518"/>
        <v>-1500</v>
      </c>
      <c r="BD516" s="437"/>
      <c r="BE516">
        <f t="shared" si="514"/>
        <v>125</v>
      </c>
      <c r="BF516" s="434">
        <v>4000</v>
      </c>
      <c r="BG516" s="209">
        <f t="shared" si="524"/>
        <v>3500</v>
      </c>
    </row>
    <row r="517" spans="1:59" ht="39" customHeight="1">
      <c r="A517" s="1572"/>
      <c r="B517" s="1573"/>
      <c r="C517" s="1573"/>
      <c r="D517" s="1373">
        <v>111</v>
      </c>
      <c r="E517" s="1373"/>
      <c r="F517" s="1829">
        <v>613700</v>
      </c>
      <c r="G517" s="1864" t="s">
        <v>567</v>
      </c>
      <c r="H517" s="1575">
        <v>4000</v>
      </c>
      <c r="I517" s="1380"/>
      <c r="J517" s="1380"/>
      <c r="K517" s="1374">
        <v>4000</v>
      </c>
      <c r="L517" s="1577">
        <v>4000</v>
      </c>
      <c r="M517" s="1303"/>
      <c r="N517" s="1304"/>
      <c r="O517" s="1375">
        <f t="shared" si="522"/>
        <v>4000</v>
      </c>
      <c r="P517" s="1577">
        <v>4000</v>
      </c>
      <c r="Q517" s="1303"/>
      <c r="R517" s="1304"/>
      <c r="S517" s="1375">
        <f>SUM(P517)</f>
        <v>4000</v>
      </c>
      <c r="T517" s="1577">
        <v>4000</v>
      </c>
      <c r="U517" s="1303"/>
      <c r="V517" s="1304"/>
      <c r="W517" s="1375">
        <f t="shared" si="523"/>
        <v>4000</v>
      </c>
      <c r="X517" s="1578">
        <f t="shared" si="475"/>
        <v>100</v>
      </c>
      <c r="Y517" s="2457"/>
      <c r="Z517" s="1136"/>
      <c r="AA517" s="1136"/>
      <c r="AB517" s="1293">
        <f t="shared" si="525"/>
        <v>0</v>
      </c>
      <c r="AC517" s="1293">
        <f t="shared" si="470"/>
        <v>0</v>
      </c>
      <c r="AD517" s="1293">
        <f t="shared" si="476"/>
        <v>0</v>
      </c>
      <c r="AE517" s="1293">
        <f t="shared" ref="AE517:AE529" si="526">T517+U517+V517-W517</f>
        <v>0</v>
      </c>
      <c r="AF517" s="1294"/>
      <c r="AG517" s="1294"/>
      <c r="AH517" s="1294">
        <f t="shared" si="471"/>
        <v>0</v>
      </c>
      <c r="AI517" s="1294">
        <f t="shared" si="519"/>
        <v>0</v>
      </c>
      <c r="AJ517" s="1293">
        <f t="shared" si="477"/>
        <v>0</v>
      </c>
      <c r="AK517" s="1294"/>
      <c r="AL517" s="1294"/>
      <c r="AM517" s="1294"/>
      <c r="AN517" s="1294"/>
      <c r="AO517" s="1294"/>
      <c r="AP517" s="1294"/>
      <c r="AQ517" s="1294"/>
      <c r="AR517" s="1294">
        <f t="shared" si="513"/>
        <v>0</v>
      </c>
      <c r="AS517" s="1136"/>
      <c r="AT517" s="668">
        <f t="shared" si="502"/>
        <v>-4000</v>
      </c>
      <c r="AU517" s="463"/>
      <c r="AV517" s="468">
        <f t="shared" si="504"/>
        <v>-4000</v>
      </c>
      <c r="AW517" s="468">
        <f t="shared" si="500"/>
        <v>9000</v>
      </c>
      <c r="AX517" s="272"/>
      <c r="AY517" s="272"/>
      <c r="AZ517" s="272"/>
      <c r="BA517" s="272"/>
      <c r="BB517" s="272"/>
      <c r="BC517" s="437">
        <f t="shared" si="518"/>
        <v>5750</v>
      </c>
      <c r="BD517" s="437"/>
      <c r="BE517" s="209">
        <f>'[2]PRIH REBALANS'!$AK$1146</f>
        <v>17050</v>
      </c>
      <c r="BF517" s="437">
        <f>SUM(BF518:BF525)</f>
        <v>17050</v>
      </c>
      <c r="BG517" s="209">
        <f t="shared" si="524"/>
        <v>3000</v>
      </c>
    </row>
    <row r="518" spans="1:59" ht="39" customHeight="1">
      <c r="A518" s="1572"/>
      <c r="B518" s="1573"/>
      <c r="C518" s="1573"/>
      <c r="D518" s="1373">
        <v>111</v>
      </c>
      <c r="E518" s="1373"/>
      <c r="F518" s="1825">
        <v>613900</v>
      </c>
      <c r="G518" s="1879" t="s">
        <v>577</v>
      </c>
      <c r="H518" s="1380">
        <f t="shared" ref="H518:J518" si="527">SUM(H519:H526)</f>
        <v>16250</v>
      </c>
      <c r="I518" s="1380">
        <f t="shared" si="527"/>
        <v>0</v>
      </c>
      <c r="J518" s="1380">
        <f t="shared" si="527"/>
        <v>0</v>
      </c>
      <c r="K518" s="1381">
        <f t="shared" ref="K518" si="528">SUM(K519:K526)</f>
        <v>16250</v>
      </c>
      <c r="L518" s="1601">
        <f>SUM(L519:L526)</f>
        <v>17050</v>
      </c>
      <c r="M518" s="1303">
        <f t="shared" ref="M518:V518" si="529">SUM(M519:M526)</f>
        <v>0</v>
      </c>
      <c r="N518" s="1304">
        <f t="shared" si="529"/>
        <v>0</v>
      </c>
      <c r="O518" s="1336">
        <f t="shared" si="529"/>
        <v>17050</v>
      </c>
      <c r="P518" s="1601">
        <f>SUM(P519:P526)</f>
        <v>16500</v>
      </c>
      <c r="Q518" s="1303">
        <f t="shared" si="529"/>
        <v>0</v>
      </c>
      <c r="R518" s="1304">
        <f t="shared" si="529"/>
        <v>0</v>
      </c>
      <c r="S518" s="1336">
        <f t="shared" si="529"/>
        <v>16500</v>
      </c>
      <c r="T518" s="1601">
        <f>SUM(T519:T526)</f>
        <v>16150</v>
      </c>
      <c r="U518" s="1303">
        <f t="shared" si="529"/>
        <v>0</v>
      </c>
      <c r="V518" s="1304">
        <f t="shared" si="529"/>
        <v>0</v>
      </c>
      <c r="W518" s="1336">
        <f>SUM(W519:W526)</f>
        <v>16150</v>
      </c>
      <c r="X518" s="1578">
        <f t="shared" si="475"/>
        <v>94.721407624633429</v>
      </c>
      <c r="Y518" s="2457">
        <f>'[1]PRIH REBALANS'!$AK$1134</f>
        <v>16150</v>
      </c>
      <c r="Z518" s="1136"/>
      <c r="AA518" s="1136"/>
      <c r="AB518" s="1293">
        <f t="shared" si="525"/>
        <v>0</v>
      </c>
      <c r="AC518" s="1293">
        <f t="shared" ref="AC518:AC529" si="530">T518+U518+V518-W518</f>
        <v>0</v>
      </c>
      <c r="AD518" s="1293">
        <f t="shared" si="476"/>
        <v>-900</v>
      </c>
      <c r="AE518" s="1293">
        <f t="shared" si="526"/>
        <v>0</v>
      </c>
      <c r="AF518" s="1294"/>
      <c r="AG518" s="1294"/>
      <c r="AH518" s="1294">
        <f t="shared" ref="AH518:AH529" si="531">T518-L518</f>
        <v>-900</v>
      </c>
      <c r="AI518" s="1294">
        <f t="shared" si="519"/>
        <v>0</v>
      </c>
      <c r="AJ518" s="1293">
        <f t="shared" si="477"/>
        <v>0</v>
      </c>
      <c r="AK518" s="1294"/>
      <c r="AL518" s="1294"/>
      <c r="AM518" s="1294"/>
      <c r="AN518" s="1294"/>
      <c r="AO518" s="1294"/>
      <c r="AP518" s="1294"/>
      <c r="AQ518" s="1294">
        <f>SUM(W519:W526)</f>
        <v>16150</v>
      </c>
      <c r="AR518" s="1294">
        <f t="shared" si="513"/>
        <v>0</v>
      </c>
      <c r="AS518" s="1136">
        <f>SUM(W524:W531)</f>
        <v>62052738</v>
      </c>
      <c r="AT518" s="668">
        <f t="shared" si="502"/>
        <v>-1500</v>
      </c>
      <c r="AU518" s="463">
        <f>SUM(W524:W531)</f>
        <v>62052738</v>
      </c>
      <c r="AV518" s="468">
        <f t="shared" si="504"/>
        <v>-1500</v>
      </c>
      <c r="AW518" s="468">
        <f t="shared" si="500"/>
        <v>8000</v>
      </c>
      <c r="AX518" s="463"/>
      <c r="AY518" s="463"/>
      <c r="AZ518" s="463"/>
      <c r="BA518" s="463"/>
      <c r="BB518" s="463"/>
      <c r="BC518" s="437">
        <f t="shared" si="518"/>
        <v>-350</v>
      </c>
      <c r="BD518" s="437"/>
      <c r="BE518">
        <f t="shared" ref="BE518:BE525" si="532">W524/O519*100</f>
        <v>93.75</v>
      </c>
      <c r="BF518" s="434">
        <v>800</v>
      </c>
      <c r="BG518" s="209">
        <f>SUM(W524:W531)</f>
        <v>62052738</v>
      </c>
    </row>
    <row r="519" spans="1:59" ht="39" customHeight="1">
      <c r="A519" s="1572"/>
      <c r="B519" s="1573"/>
      <c r="C519" s="1573"/>
      <c r="D519" s="1373">
        <v>111</v>
      </c>
      <c r="E519" s="1373"/>
      <c r="F519" s="1829">
        <v>613912</v>
      </c>
      <c r="G519" s="1864" t="s">
        <v>275</v>
      </c>
      <c r="H519" s="1575">
        <v>800</v>
      </c>
      <c r="I519" s="1380"/>
      <c r="J519" s="1380"/>
      <c r="K519" s="1374">
        <v>800</v>
      </c>
      <c r="L519" s="1577">
        <v>800</v>
      </c>
      <c r="M519" s="1303"/>
      <c r="N519" s="1304"/>
      <c r="O519" s="1375">
        <f>SUM(L519:N519)</f>
        <v>800</v>
      </c>
      <c r="P519" s="1577">
        <v>800</v>
      </c>
      <c r="Q519" s="1303"/>
      <c r="R519" s="1304"/>
      <c r="S519" s="1375">
        <f>SUM(P519:R519)</f>
        <v>800</v>
      </c>
      <c r="T519" s="1577">
        <v>800</v>
      </c>
      <c r="U519" s="1303"/>
      <c r="V519" s="1304"/>
      <c r="W519" s="1375">
        <f t="shared" si="523"/>
        <v>800</v>
      </c>
      <c r="X519" s="1578">
        <f t="shared" si="475"/>
        <v>100</v>
      </c>
      <c r="Y519" s="2457"/>
      <c r="Z519" s="1136"/>
      <c r="AA519" s="1136"/>
      <c r="AB519" s="1293">
        <f t="shared" si="525"/>
        <v>0</v>
      </c>
      <c r="AC519" s="1293">
        <f t="shared" si="530"/>
        <v>0</v>
      </c>
      <c r="AD519" s="1293">
        <f t="shared" si="476"/>
        <v>0</v>
      </c>
      <c r="AE519" s="1293">
        <f t="shared" si="526"/>
        <v>0</v>
      </c>
      <c r="AF519" s="1294"/>
      <c r="AG519" s="1294"/>
      <c r="AH519" s="1294">
        <f t="shared" si="531"/>
        <v>0</v>
      </c>
      <c r="AI519" s="1294">
        <f t="shared" si="519"/>
        <v>0</v>
      </c>
      <c r="AJ519" s="1293">
        <f t="shared" si="477"/>
        <v>0</v>
      </c>
      <c r="AK519" s="1294"/>
      <c r="AL519" s="1294"/>
      <c r="AM519" s="1294"/>
      <c r="AN519" s="1294"/>
      <c r="AO519" s="1294"/>
      <c r="AP519" s="1294"/>
      <c r="AQ519" s="1294"/>
      <c r="AR519" s="1294">
        <f t="shared" si="513"/>
        <v>0</v>
      </c>
      <c r="AS519" s="1136"/>
      <c r="AT519" s="668">
        <f t="shared" si="502"/>
        <v>5750</v>
      </c>
      <c r="AU519" s="463"/>
      <c r="AV519" s="468">
        <f t="shared" si="504"/>
        <v>5750</v>
      </c>
      <c r="AW519" s="468">
        <f t="shared" si="500"/>
        <v>-5000</v>
      </c>
      <c r="AX519" s="272"/>
      <c r="AY519" s="272"/>
      <c r="AZ519" s="272"/>
      <c r="BA519" s="272"/>
      <c r="BB519" s="272"/>
      <c r="BC519" s="437">
        <f t="shared" si="518"/>
        <v>600</v>
      </c>
      <c r="BD519" s="437"/>
      <c r="BE519">
        <f t="shared" si="532"/>
        <v>220.00000000000003</v>
      </c>
      <c r="BF519" s="434">
        <v>500</v>
      </c>
      <c r="BG519" s="209">
        <f t="shared" ref="BG519:BG526" si="533">T523-BF518</f>
        <v>5700</v>
      </c>
    </row>
    <row r="520" spans="1:59" ht="39" customHeight="1">
      <c r="A520" s="1572"/>
      <c r="B520" s="1573"/>
      <c r="C520" s="1573"/>
      <c r="D520" s="1373">
        <v>111</v>
      </c>
      <c r="E520" s="1373" t="s">
        <v>206</v>
      </c>
      <c r="F520" s="1829">
        <v>613914</v>
      </c>
      <c r="G520" s="1864" t="s">
        <v>224</v>
      </c>
      <c r="H520" s="1575">
        <v>500</v>
      </c>
      <c r="I520" s="1380"/>
      <c r="J520" s="1380"/>
      <c r="K520" s="1374">
        <v>500</v>
      </c>
      <c r="L520" s="1577">
        <v>500</v>
      </c>
      <c r="M520" s="1303"/>
      <c r="N520" s="1304"/>
      <c r="O520" s="1375">
        <f t="shared" ref="O520:O526" si="534">SUM(L520:N520)</f>
        <v>500</v>
      </c>
      <c r="P520" s="1577">
        <v>500</v>
      </c>
      <c r="Q520" s="1303"/>
      <c r="R520" s="1304"/>
      <c r="S520" s="1375">
        <v>500</v>
      </c>
      <c r="T520" s="1577">
        <v>500</v>
      </c>
      <c r="U520" s="1303"/>
      <c r="V520" s="1304"/>
      <c r="W520" s="1375">
        <f t="shared" si="523"/>
        <v>500</v>
      </c>
      <c r="X520" s="1578">
        <f t="shared" ref="X520:X530" si="535">W520/O520*100</f>
        <v>100</v>
      </c>
      <c r="Y520" s="2457"/>
      <c r="Z520" s="1136"/>
      <c r="AA520" s="1136"/>
      <c r="AB520" s="1293">
        <f t="shared" si="525"/>
        <v>0</v>
      </c>
      <c r="AC520" s="1293">
        <f t="shared" si="530"/>
        <v>0</v>
      </c>
      <c r="AD520" s="1293">
        <f t="shared" ref="AD520:AD535" si="536">W520-O520</f>
        <v>0</v>
      </c>
      <c r="AE520" s="1293">
        <f t="shared" si="526"/>
        <v>0</v>
      </c>
      <c r="AF520" s="1294"/>
      <c r="AG520" s="1294"/>
      <c r="AH520" s="1294">
        <f t="shared" si="531"/>
        <v>0</v>
      </c>
      <c r="AI520" s="1294">
        <f t="shared" si="519"/>
        <v>0</v>
      </c>
      <c r="AJ520" s="1293">
        <f t="shared" ref="AJ520:AJ530" si="537">T520+U520+V520-W520</f>
        <v>0</v>
      </c>
      <c r="AK520" s="1294"/>
      <c r="AL520" s="1294"/>
      <c r="AM520" s="1294"/>
      <c r="AN520" s="1294"/>
      <c r="AO520" s="1294"/>
      <c r="AP520" s="1294"/>
      <c r="AQ520" s="1294"/>
      <c r="AR520" s="1294">
        <f t="shared" si="513"/>
        <v>0</v>
      </c>
      <c r="AS520" s="1136"/>
      <c r="AT520" s="668">
        <f t="shared" si="502"/>
        <v>-350</v>
      </c>
      <c r="AU520" s="463"/>
      <c r="AV520" s="468">
        <f t="shared" si="504"/>
        <v>-350</v>
      </c>
      <c r="AW520" s="468">
        <f t="shared" si="500"/>
        <v>1450</v>
      </c>
      <c r="AX520" s="272"/>
      <c r="AY520" s="272"/>
      <c r="AZ520" s="272"/>
      <c r="BA520" s="272"/>
      <c r="BB520" s="272"/>
      <c r="BC520" s="437">
        <f t="shared" si="518"/>
        <v>-499500</v>
      </c>
      <c r="BD520" s="437"/>
      <c r="BE520">
        <f t="shared" si="532"/>
        <v>50</v>
      </c>
      <c r="BF520" s="434">
        <v>1000</v>
      </c>
      <c r="BG520" s="209">
        <f t="shared" si="533"/>
        <v>250</v>
      </c>
    </row>
    <row r="521" spans="1:59" ht="39" customHeight="1">
      <c r="A521" s="1572"/>
      <c r="B521" s="1573"/>
      <c r="C521" s="1573"/>
      <c r="D521" s="1373">
        <v>111</v>
      </c>
      <c r="E521" s="1373"/>
      <c r="F521" s="1829">
        <v>613920</v>
      </c>
      <c r="G521" s="1864" t="s">
        <v>568</v>
      </c>
      <c r="H521" s="1575">
        <v>1000</v>
      </c>
      <c r="I521" s="1380"/>
      <c r="J521" s="1380"/>
      <c r="K521" s="1374">
        <v>1000</v>
      </c>
      <c r="L521" s="1577">
        <v>1000</v>
      </c>
      <c r="M521" s="1303"/>
      <c r="N521" s="1304"/>
      <c r="O521" s="1375">
        <f t="shared" si="534"/>
        <v>1000</v>
      </c>
      <c r="P521" s="1577">
        <v>1000</v>
      </c>
      <c r="Q521" s="1303"/>
      <c r="R521" s="1304"/>
      <c r="S521" s="1375">
        <v>1000</v>
      </c>
      <c r="T521" s="1577">
        <v>1000</v>
      </c>
      <c r="U521" s="1303"/>
      <c r="V521" s="1304"/>
      <c r="W521" s="1375">
        <f t="shared" si="523"/>
        <v>1000</v>
      </c>
      <c r="X521" s="1578">
        <f t="shared" si="535"/>
        <v>100</v>
      </c>
      <c r="Y521" s="2457"/>
      <c r="Z521" s="1136"/>
      <c r="AA521" s="1136"/>
      <c r="AB521" s="1293">
        <f t="shared" si="525"/>
        <v>0</v>
      </c>
      <c r="AC521" s="1293">
        <f t="shared" si="530"/>
        <v>0</v>
      </c>
      <c r="AD521" s="1293">
        <f t="shared" si="536"/>
        <v>0</v>
      </c>
      <c r="AE521" s="1293">
        <f t="shared" si="526"/>
        <v>0</v>
      </c>
      <c r="AF521" s="1294"/>
      <c r="AG521" s="1294"/>
      <c r="AH521" s="1294">
        <f t="shared" si="531"/>
        <v>0</v>
      </c>
      <c r="AI521" s="1294">
        <f t="shared" si="519"/>
        <v>0</v>
      </c>
      <c r="AJ521" s="1293">
        <f t="shared" si="537"/>
        <v>0</v>
      </c>
      <c r="AK521" s="1294"/>
      <c r="AL521" s="1294"/>
      <c r="AM521" s="1294"/>
      <c r="AN521" s="1294"/>
      <c r="AO521" s="1294"/>
      <c r="AP521" s="1294"/>
      <c r="AQ521" s="1294"/>
      <c r="AR521" s="1294">
        <f t="shared" si="513"/>
        <v>0</v>
      </c>
      <c r="AS521" s="1136"/>
      <c r="AT521" s="668">
        <f t="shared" si="502"/>
        <v>600</v>
      </c>
      <c r="AU521" s="463"/>
      <c r="AV521" s="468">
        <f t="shared" si="504"/>
        <v>600</v>
      </c>
      <c r="AW521" s="468">
        <f t="shared" si="500"/>
        <v>-100</v>
      </c>
      <c r="AX521" s="272"/>
      <c r="AY521" s="272"/>
      <c r="AZ521" s="272"/>
      <c r="BA521" s="272"/>
      <c r="BB521" s="272"/>
      <c r="BC521" s="437">
        <f t="shared" si="518"/>
        <v>0</v>
      </c>
      <c r="BD521" s="437"/>
      <c r="BE521">
        <f t="shared" si="532"/>
        <v>10000</v>
      </c>
      <c r="BF521" s="434">
        <v>5000</v>
      </c>
      <c r="BG521" s="209">
        <f t="shared" si="533"/>
        <v>100</v>
      </c>
    </row>
    <row r="522" spans="1:59" ht="39" customHeight="1">
      <c r="A522" s="1572"/>
      <c r="B522" s="1573"/>
      <c r="C522" s="1573"/>
      <c r="D522" s="1373">
        <v>111</v>
      </c>
      <c r="E522" s="1373"/>
      <c r="F522" s="1829" t="s">
        <v>578</v>
      </c>
      <c r="G522" s="1864" t="s">
        <v>579</v>
      </c>
      <c r="H522" s="1575">
        <v>5000</v>
      </c>
      <c r="I522" s="1380"/>
      <c r="J522" s="1380"/>
      <c r="K522" s="1374">
        <v>5000</v>
      </c>
      <c r="L522" s="1577">
        <v>5000</v>
      </c>
      <c r="M522" s="1303"/>
      <c r="N522" s="1304"/>
      <c r="O522" s="1375">
        <f t="shared" si="534"/>
        <v>5000</v>
      </c>
      <c r="P522" s="1577">
        <v>5000</v>
      </c>
      <c r="Q522" s="1303"/>
      <c r="R522" s="1304"/>
      <c r="S522" s="1375">
        <f>SUM(P522)</f>
        <v>5000</v>
      </c>
      <c r="T522" s="1577">
        <v>5000</v>
      </c>
      <c r="U522" s="1303"/>
      <c r="V522" s="1304"/>
      <c r="W522" s="1375">
        <f t="shared" si="523"/>
        <v>5000</v>
      </c>
      <c r="X522" s="1578">
        <f t="shared" si="535"/>
        <v>100</v>
      </c>
      <c r="Y522" s="2457"/>
      <c r="Z522" s="1136"/>
      <c r="AA522" s="1136"/>
      <c r="AB522" s="1293">
        <f t="shared" si="525"/>
        <v>0</v>
      </c>
      <c r="AC522" s="1293">
        <f t="shared" si="530"/>
        <v>0</v>
      </c>
      <c r="AD522" s="1293">
        <f t="shared" si="536"/>
        <v>0</v>
      </c>
      <c r="AE522" s="1293">
        <f t="shared" si="526"/>
        <v>0</v>
      </c>
      <c r="AF522" s="1294"/>
      <c r="AG522" s="1294"/>
      <c r="AH522" s="1294">
        <f t="shared" si="531"/>
        <v>0</v>
      </c>
      <c r="AI522" s="1294">
        <f t="shared" si="519"/>
        <v>0</v>
      </c>
      <c r="AJ522" s="1293">
        <f t="shared" si="537"/>
        <v>0</v>
      </c>
      <c r="AK522" s="1294"/>
      <c r="AL522" s="1294"/>
      <c r="AM522" s="1294"/>
      <c r="AN522" s="1294"/>
      <c r="AO522" s="1294"/>
      <c r="AP522" s="1294"/>
      <c r="AQ522" s="1294"/>
      <c r="AR522" s="1294">
        <f t="shared" si="513"/>
        <v>0</v>
      </c>
      <c r="AS522" s="1136"/>
      <c r="AT522" s="668">
        <f t="shared" si="502"/>
        <v>-499500</v>
      </c>
      <c r="AU522" s="463"/>
      <c r="AV522" s="468">
        <f t="shared" si="504"/>
        <v>-499500</v>
      </c>
      <c r="AW522" s="468">
        <f t="shared" si="500"/>
        <v>999500</v>
      </c>
      <c r="AX522" s="272"/>
      <c r="AY522" s="272"/>
      <c r="AZ522" s="272"/>
      <c r="BA522" s="272"/>
      <c r="BB522" s="272"/>
      <c r="BC522" s="437">
        <f t="shared" si="518"/>
        <v>500000</v>
      </c>
      <c r="BD522" s="437"/>
      <c r="BE522">
        <f t="shared" si="532"/>
        <v>6944.4444444444443</v>
      </c>
      <c r="BF522" s="434">
        <v>7200</v>
      </c>
      <c r="BG522" s="209">
        <f t="shared" si="533"/>
        <v>-4500</v>
      </c>
    </row>
    <row r="523" spans="1:59" ht="39" customHeight="1">
      <c r="A523" s="1572"/>
      <c r="B523" s="1573"/>
      <c r="C523" s="1573"/>
      <c r="D523" s="1373">
        <v>111</v>
      </c>
      <c r="E523" s="1373"/>
      <c r="F523" s="1829" t="s">
        <v>580</v>
      </c>
      <c r="G523" s="1864" t="s">
        <v>249</v>
      </c>
      <c r="H523" s="1575">
        <v>6500</v>
      </c>
      <c r="I523" s="1380"/>
      <c r="J523" s="1380"/>
      <c r="K523" s="1374">
        <v>6500</v>
      </c>
      <c r="L523" s="1577">
        <v>7200</v>
      </c>
      <c r="M523" s="1303"/>
      <c r="N523" s="1304"/>
      <c r="O523" s="1375">
        <f t="shared" si="534"/>
        <v>7200</v>
      </c>
      <c r="P523" s="1577">
        <v>6500</v>
      </c>
      <c r="Q523" s="1303"/>
      <c r="R523" s="1304"/>
      <c r="S523" s="1375">
        <f>SUM(P523)</f>
        <v>6500</v>
      </c>
      <c r="T523" s="1577">
        <v>6500</v>
      </c>
      <c r="U523" s="1303"/>
      <c r="V523" s="1304"/>
      <c r="W523" s="1375">
        <f t="shared" si="523"/>
        <v>6500</v>
      </c>
      <c r="X523" s="1578">
        <f t="shared" si="535"/>
        <v>90.277777777777786</v>
      </c>
      <c r="Y523" s="2457"/>
      <c r="Z523" s="1136"/>
      <c r="AA523" s="1136"/>
      <c r="AB523" s="1293">
        <f t="shared" si="525"/>
        <v>0</v>
      </c>
      <c r="AC523" s="1293">
        <f t="shared" si="530"/>
        <v>0</v>
      </c>
      <c r="AD523" s="1293">
        <f t="shared" si="536"/>
        <v>-700</v>
      </c>
      <c r="AE523" s="1293">
        <f t="shared" si="526"/>
        <v>0</v>
      </c>
      <c r="AF523" s="1294"/>
      <c r="AG523" s="1294"/>
      <c r="AH523" s="1294">
        <f t="shared" si="531"/>
        <v>-700</v>
      </c>
      <c r="AI523" s="1294">
        <f t="shared" si="519"/>
        <v>0</v>
      </c>
      <c r="AJ523" s="1293">
        <f t="shared" si="537"/>
        <v>0</v>
      </c>
      <c r="AK523" s="1294"/>
      <c r="AL523" s="1294"/>
      <c r="AM523" s="1294"/>
      <c r="AN523" s="1294"/>
      <c r="AO523" s="1294"/>
      <c r="AP523" s="1294"/>
      <c r="AQ523" s="1294"/>
      <c r="AR523" s="1294">
        <f t="shared" si="513"/>
        <v>0</v>
      </c>
      <c r="AS523" s="1136"/>
      <c r="AT523" s="668">
        <f t="shared" si="502"/>
        <v>0</v>
      </c>
      <c r="AU523" s="463"/>
      <c r="AV523" s="468">
        <f t="shared" si="504"/>
        <v>0</v>
      </c>
      <c r="AW523" s="468">
        <f t="shared" si="500"/>
        <v>500000</v>
      </c>
      <c r="AX523" s="272"/>
      <c r="AY523" s="272"/>
      <c r="AZ523" s="272"/>
      <c r="BA523" s="272"/>
      <c r="BB523" s="272"/>
      <c r="BC523" s="437">
        <f t="shared" si="518"/>
        <v>-61050388</v>
      </c>
      <c r="BD523" s="437"/>
      <c r="BE523">
        <f t="shared" si="532"/>
        <v>0</v>
      </c>
      <c r="BF523" s="434">
        <v>750</v>
      </c>
      <c r="BG523" s="209">
        <f t="shared" si="533"/>
        <v>-2200</v>
      </c>
    </row>
    <row r="524" spans="1:59" ht="39" customHeight="1">
      <c r="A524" s="1572"/>
      <c r="B524" s="1573"/>
      <c r="C524" s="1573"/>
      <c r="D524" s="1373">
        <v>111</v>
      </c>
      <c r="E524" s="1373"/>
      <c r="F524" s="1829">
        <v>613980</v>
      </c>
      <c r="G524" s="1875" t="s">
        <v>705</v>
      </c>
      <c r="H524" s="1575">
        <v>750</v>
      </c>
      <c r="I524" s="1380"/>
      <c r="J524" s="1380"/>
      <c r="K524" s="1374">
        <v>750</v>
      </c>
      <c r="L524" s="1577">
        <v>750</v>
      </c>
      <c r="M524" s="1303"/>
      <c r="N524" s="1304"/>
      <c r="O524" s="1375">
        <f t="shared" si="534"/>
        <v>750</v>
      </c>
      <c r="P524" s="1577">
        <v>1000</v>
      </c>
      <c r="Q524" s="1303"/>
      <c r="R524" s="1304"/>
      <c r="S524" s="1375">
        <f>SUM(P524)</f>
        <v>1000</v>
      </c>
      <c r="T524" s="1577">
        <v>750</v>
      </c>
      <c r="U524" s="1303"/>
      <c r="V524" s="1304"/>
      <c r="W524" s="1375">
        <f t="shared" si="523"/>
        <v>750</v>
      </c>
      <c r="X524" s="1578">
        <f t="shared" si="535"/>
        <v>100</v>
      </c>
      <c r="Y524" s="2457"/>
      <c r="Z524" s="1136"/>
      <c r="AA524" s="1136"/>
      <c r="AB524" s="1293">
        <f t="shared" si="525"/>
        <v>0</v>
      </c>
      <c r="AC524" s="1293">
        <f t="shared" si="530"/>
        <v>0</v>
      </c>
      <c r="AD524" s="1293">
        <f t="shared" si="536"/>
        <v>0</v>
      </c>
      <c r="AE524" s="1293">
        <f t="shared" si="526"/>
        <v>0</v>
      </c>
      <c r="AF524" s="1294"/>
      <c r="AG524" s="1294"/>
      <c r="AH524" s="1294">
        <f t="shared" si="531"/>
        <v>0</v>
      </c>
      <c r="AI524" s="1294">
        <f t="shared" si="519"/>
        <v>0</v>
      </c>
      <c r="AJ524" s="1293">
        <f t="shared" si="537"/>
        <v>0</v>
      </c>
      <c r="AK524" s="1294"/>
      <c r="AL524" s="1294"/>
      <c r="AM524" s="1294"/>
      <c r="AN524" s="1294"/>
      <c r="AO524" s="1294"/>
      <c r="AP524" s="1294"/>
      <c r="AQ524" s="1294"/>
      <c r="AR524" s="1294">
        <f t="shared" si="513"/>
        <v>0</v>
      </c>
      <c r="AS524" s="1136"/>
      <c r="AT524" s="668">
        <f t="shared" si="502"/>
        <v>500000</v>
      </c>
      <c r="AU524" s="463"/>
      <c r="AV524" s="468">
        <f t="shared" si="504"/>
        <v>500000</v>
      </c>
      <c r="AW524" s="468">
        <f t="shared" si="500"/>
        <v>-500000</v>
      </c>
      <c r="AX524" s="272"/>
      <c r="AY524" s="272"/>
      <c r="AZ524" s="272"/>
      <c r="BA524" s="272"/>
      <c r="BB524" s="272"/>
      <c r="BC524" s="437">
        <f t="shared" si="518"/>
        <v>61050388</v>
      </c>
      <c r="BD524" s="437"/>
      <c r="BE524">
        <f t="shared" si="532"/>
        <v>5087532.333333333</v>
      </c>
      <c r="BF524" s="434">
        <v>1200</v>
      </c>
      <c r="BG524" s="209">
        <f t="shared" si="533"/>
        <v>4250</v>
      </c>
    </row>
    <row r="525" spans="1:59" ht="39" customHeight="1">
      <c r="A525" s="1572"/>
      <c r="B525" s="1573"/>
      <c r="C525" s="1573"/>
      <c r="D525" s="1373">
        <v>111</v>
      </c>
      <c r="E525" s="1373"/>
      <c r="F525" s="1829">
        <v>613974</v>
      </c>
      <c r="G525" s="1864" t="s">
        <v>250</v>
      </c>
      <c r="H525" s="1575">
        <v>1200</v>
      </c>
      <c r="I525" s="1380"/>
      <c r="J525" s="1380"/>
      <c r="K525" s="1374">
        <v>1200</v>
      </c>
      <c r="L525" s="1577">
        <v>1200</v>
      </c>
      <c r="M525" s="1303"/>
      <c r="N525" s="1304"/>
      <c r="O525" s="1375">
        <f t="shared" si="534"/>
        <v>1200</v>
      </c>
      <c r="P525" s="1577">
        <v>1200</v>
      </c>
      <c r="Q525" s="1303"/>
      <c r="R525" s="1304"/>
      <c r="S525" s="1375">
        <f>SUM(P525)</f>
        <v>1200</v>
      </c>
      <c r="T525" s="1577">
        <v>1100</v>
      </c>
      <c r="U525" s="1303"/>
      <c r="V525" s="1304"/>
      <c r="W525" s="1375">
        <f t="shared" si="523"/>
        <v>1100</v>
      </c>
      <c r="X525" s="1578">
        <f t="shared" si="535"/>
        <v>91.666666666666657</v>
      </c>
      <c r="Y525" s="2457"/>
      <c r="Z525" s="1136"/>
      <c r="AA525" s="1136"/>
      <c r="AB525" s="1293">
        <f t="shared" si="525"/>
        <v>0</v>
      </c>
      <c r="AC525" s="1293">
        <f t="shared" si="530"/>
        <v>0</v>
      </c>
      <c r="AD525" s="1293">
        <f t="shared" si="536"/>
        <v>-100</v>
      </c>
      <c r="AE525" s="1293">
        <f t="shared" si="526"/>
        <v>0</v>
      </c>
      <c r="AF525" s="1294"/>
      <c r="AG525" s="1294"/>
      <c r="AH525" s="1294">
        <f t="shared" si="531"/>
        <v>-100</v>
      </c>
      <c r="AI525" s="1294">
        <f t="shared" si="519"/>
        <v>0</v>
      </c>
      <c r="AJ525" s="1293">
        <f t="shared" si="537"/>
        <v>0</v>
      </c>
      <c r="AK525" s="1294"/>
      <c r="AL525" s="1294"/>
      <c r="AM525" s="1294"/>
      <c r="AN525" s="1294"/>
      <c r="AO525" s="1294"/>
      <c r="AP525" s="1294"/>
      <c r="AQ525" s="1294"/>
      <c r="AR525" s="1294">
        <f t="shared" si="513"/>
        <v>0</v>
      </c>
      <c r="AS525" s="1136"/>
      <c r="AT525" s="668">
        <f t="shared" si="502"/>
        <v>-61050388</v>
      </c>
      <c r="AU525" s="463"/>
      <c r="AV525" s="468">
        <f t="shared" si="504"/>
        <v>-61050388</v>
      </c>
      <c r="AW525" s="468">
        <f t="shared" si="500"/>
        <v>122100776</v>
      </c>
      <c r="AX525" s="272"/>
      <c r="AY525" s="272"/>
      <c r="AZ525" s="272"/>
      <c r="BA525" s="272"/>
      <c r="BB525" s="272"/>
      <c r="BC525" s="437">
        <f t="shared" si="518"/>
        <v>0</v>
      </c>
      <c r="BD525" s="437"/>
      <c r="BE525">
        <f t="shared" si="532"/>
        <v>0</v>
      </c>
      <c r="BF525" s="434">
        <v>600</v>
      </c>
      <c r="BG525" s="209">
        <f t="shared" si="533"/>
        <v>-1200</v>
      </c>
    </row>
    <row r="526" spans="1:59" ht="39" customHeight="1">
      <c r="A526" s="1572"/>
      <c r="B526" s="1573"/>
      <c r="C526" s="1573"/>
      <c r="D526" s="1373">
        <v>111</v>
      </c>
      <c r="E526" s="1373"/>
      <c r="F526" s="1829" t="s">
        <v>234</v>
      </c>
      <c r="G526" s="1864" t="s">
        <v>235</v>
      </c>
      <c r="H526" s="1575">
        <v>500</v>
      </c>
      <c r="I526" s="1380"/>
      <c r="J526" s="1380"/>
      <c r="K526" s="1374">
        <v>500</v>
      </c>
      <c r="L526" s="1577">
        <v>600</v>
      </c>
      <c r="M526" s="1303"/>
      <c r="N526" s="1304"/>
      <c r="O526" s="1375">
        <f t="shared" si="534"/>
        <v>600</v>
      </c>
      <c r="P526" s="1577">
        <v>500</v>
      </c>
      <c r="Q526" s="1303"/>
      <c r="R526" s="1304"/>
      <c r="S526" s="1375">
        <f>SUM(P526)</f>
        <v>500</v>
      </c>
      <c r="T526" s="1577">
        <v>500</v>
      </c>
      <c r="U526" s="1303"/>
      <c r="V526" s="1304"/>
      <c r="W526" s="1375">
        <f t="shared" si="523"/>
        <v>500</v>
      </c>
      <c r="X526" s="1578">
        <f t="shared" si="535"/>
        <v>83.333333333333343</v>
      </c>
      <c r="Y526" s="2457"/>
      <c r="Z526" s="1136"/>
      <c r="AA526" s="1136"/>
      <c r="AB526" s="1293">
        <f t="shared" si="525"/>
        <v>0</v>
      </c>
      <c r="AC526" s="1293">
        <f t="shared" si="530"/>
        <v>0</v>
      </c>
      <c r="AD526" s="1293">
        <f t="shared" si="536"/>
        <v>-100</v>
      </c>
      <c r="AE526" s="1293">
        <f t="shared" si="526"/>
        <v>0</v>
      </c>
      <c r="AF526" s="1294"/>
      <c r="AG526" s="1294"/>
      <c r="AH526" s="1294">
        <f t="shared" si="531"/>
        <v>-100</v>
      </c>
      <c r="AI526" s="1294">
        <f t="shared" si="519"/>
        <v>0</v>
      </c>
      <c r="AJ526" s="1293">
        <f t="shared" si="537"/>
        <v>0</v>
      </c>
      <c r="AK526" s="1294"/>
      <c r="AL526" s="1294"/>
      <c r="AM526" s="1294"/>
      <c r="AN526" s="1294"/>
      <c r="AO526" s="1294"/>
      <c r="AP526" s="1294"/>
      <c r="AQ526" s="1294"/>
      <c r="AR526" s="1294">
        <f t="shared" si="513"/>
        <v>0</v>
      </c>
      <c r="AS526" s="1136"/>
      <c r="AT526" s="668">
        <f t="shared" si="502"/>
        <v>61050388</v>
      </c>
      <c r="AU526" s="463"/>
      <c r="AV526" s="468">
        <f t="shared" si="504"/>
        <v>61050388</v>
      </c>
      <c r="AW526" s="468">
        <f t="shared" si="500"/>
        <v>-61050388</v>
      </c>
      <c r="AX526" s="272"/>
      <c r="AY526" s="272"/>
      <c r="AZ526" s="272"/>
      <c r="BA526" s="272"/>
      <c r="BB526" s="272"/>
      <c r="BC526" s="437">
        <f t="shared" si="518"/>
        <v>0</v>
      </c>
      <c r="BD526" s="437"/>
      <c r="BE526" s="209">
        <f>'[2]PRIH REBALANS'!$AK$1155</f>
        <v>755750.94</v>
      </c>
      <c r="BF526" s="437">
        <f>BE526-X534</f>
        <v>755750.94</v>
      </c>
      <c r="BG526" s="209">
        <f t="shared" si="533"/>
        <v>45487510</v>
      </c>
    </row>
    <row r="527" spans="1:59" ht="39" customHeight="1">
      <c r="A527" s="1572"/>
      <c r="B527" s="1573"/>
      <c r="C527" s="1573"/>
      <c r="D527" s="1373"/>
      <c r="E527" s="1373"/>
      <c r="F527" s="1825">
        <v>821000</v>
      </c>
      <c r="G527" s="1879" t="s">
        <v>236</v>
      </c>
      <c r="H527" s="1380">
        <f t="shared" ref="H527:K527" si="538">SUM(H528:H529)</f>
        <v>24600</v>
      </c>
      <c r="I527" s="1380">
        <f t="shared" si="538"/>
        <v>245000</v>
      </c>
      <c r="J527" s="1380">
        <f t="shared" si="538"/>
        <v>0</v>
      </c>
      <c r="K527" s="1381">
        <f t="shared" si="538"/>
        <v>24600</v>
      </c>
      <c r="L527" s="1601">
        <f>SUM(L528:L529)</f>
        <v>5000</v>
      </c>
      <c r="M527" s="1303">
        <f>M528+M529</f>
        <v>685750</v>
      </c>
      <c r="N527" s="1304">
        <f>SUM(N528:N529)</f>
        <v>65000</v>
      </c>
      <c r="O527" s="1336">
        <f>O528+O529</f>
        <v>755750</v>
      </c>
      <c r="P527" s="1601">
        <f>SUM(P528:P529)</f>
        <v>10000</v>
      </c>
      <c r="Q527" s="1303">
        <f>Q528+Q529</f>
        <v>450000</v>
      </c>
      <c r="R527" s="1304">
        <f>SUM(R528:R529)</f>
        <v>95000</v>
      </c>
      <c r="S527" s="1336">
        <f>S528+S529</f>
        <v>555000</v>
      </c>
      <c r="T527" s="1601">
        <f>SUM(T528:T529)</f>
        <v>5000</v>
      </c>
      <c r="U527" s="1303">
        <f>U528+U529</f>
        <v>400000</v>
      </c>
      <c r="V527" s="1304">
        <f>SUM(V528:V529)</f>
        <v>95000</v>
      </c>
      <c r="W527" s="1336">
        <f>W528+W529</f>
        <v>500000</v>
      </c>
      <c r="X527" s="1578">
        <f t="shared" si="535"/>
        <v>66.159444260668209</v>
      </c>
      <c r="Y527" s="2457">
        <f>'ASG tab 12'!M5</f>
        <v>495000</v>
      </c>
      <c r="Z527" s="1136"/>
      <c r="AA527" s="1136"/>
      <c r="AB527" s="1293">
        <f t="shared" si="525"/>
        <v>0</v>
      </c>
      <c r="AC527" s="1293">
        <f t="shared" si="530"/>
        <v>0</v>
      </c>
      <c r="AD527" s="1293">
        <f t="shared" si="536"/>
        <v>-255750</v>
      </c>
      <c r="AE527" s="1293">
        <f t="shared" si="526"/>
        <v>0</v>
      </c>
      <c r="AF527" s="1294"/>
      <c r="AG527" s="1294"/>
      <c r="AH527" s="1294">
        <f t="shared" si="531"/>
        <v>0</v>
      </c>
      <c r="AI527" s="1294">
        <f t="shared" si="519"/>
        <v>0</v>
      </c>
      <c r="AJ527" s="1293">
        <f t="shared" si="537"/>
        <v>0</v>
      </c>
      <c r="AK527" s="1294"/>
      <c r="AL527" s="1294"/>
      <c r="AM527" s="1294"/>
      <c r="AN527" s="1294"/>
      <c r="AO527" s="1294"/>
      <c r="AP527" s="1294"/>
      <c r="AQ527" s="1294">
        <f>SUM(W528:W529)</f>
        <v>500000</v>
      </c>
      <c r="AR527" s="1294">
        <f t="shared" si="513"/>
        <v>0</v>
      </c>
      <c r="AS527" s="1136">
        <f>SUM(W533:W534)</f>
        <v>0</v>
      </c>
      <c r="AT527" s="668">
        <f t="shared" si="502"/>
        <v>0</v>
      </c>
      <c r="AU527" s="463">
        <f>'ASG tab 12'!F5</f>
        <v>750751.19000000006</v>
      </c>
      <c r="AV527" s="468">
        <f t="shared" si="504"/>
        <v>0</v>
      </c>
      <c r="AW527" s="468">
        <f t="shared" ref="AW527:AW532" si="539">W532-AV527</f>
        <v>0</v>
      </c>
      <c r="AX527" s="463"/>
      <c r="AY527" s="463"/>
      <c r="AZ527" s="463"/>
      <c r="BA527" s="463"/>
      <c r="BB527" s="463"/>
      <c r="BC527" s="437">
        <f t="shared" si="518"/>
        <v>0</v>
      </c>
      <c r="BD527" s="437"/>
      <c r="BE527">
        <f>W533/O528*100</f>
        <v>0</v>
      </c>
      <c r="BF527" s="437">
        <f>BE527-X535</f>
        <v>0</v>
      </c>
      <c r="BG527" s="209">
        <f>SUM(W533:W534)</f>
        <v>0</v>
      </c>
    </row>
    <row r="528" spans="1:59" ht="39" customHeight="1">
      <c r="A528" s="1376"/>
      <c r="B528" s="1573"/>
      <c r="C528" s="1573"/>
      <c r="D528" s="1373" t="s">
        <v>604</v>
      </c>
      <c r="E528" s="1373" t="s">
        <v>605</v>
      </c>
      <c r="F528" s="1829" t="s">
        <v>195</v>
      </c>
      <c r="G528" s="1864" t="s">
        <v>741</v>
      </c>
      <c r="H528" s="1575">
        <v>24600</v>
      </c>
      <c r="I528" s="1380"/>
      <c r="J528" s="1380"/>
      <c r="K528" s="1374">
        <v>24600</v>
      </c>
      <c r="L528" s="1610">
        <v>5000</v>
      </c>
      <c r="M528" s="1333">
        <v>400000</v>
      </c>
      <c r="N528" s="1334"/>
      <c r="O528" s="1375">
        <f>SUM(L528:N528)</f>
        <v>405000</v>
      </c>
      <c r="P528" s="1610">
        <v>10000</v>
      </c>
      <c r="Q528" s="1333">
        <v>5000</v>
      </c>
      <c r="R528" s="1334">
        <v>15000</v>
      </c>
      <c r="S528" s="1375">
        <f>SUM(P528:R528)</f>
        <v>30000</v>
      </c>
      <c r="T528" s="1610">
        <v>5000</v>
      </c>
      <c r="U528" s="1333">
        <v>400000</v>
      </c>
      <c r="V528" s="1334">
        <v>95000</v>
      </c>
      <c r="W528" s="1375">
        <f>SUM(T528:V528)</f>
        <v>500000</v>
      </c>
      <c r="X528" s="1578">
        <f t="shared" si="535"/>
        <v>123.45679012345678</v>
      </c>
      <c r="Y528" s="2457"/>
      <c r="Z528" s="1136"/>
      <c r="AA528" s="1136"/>
      <c r="AB528" s="1293">
        <f t="shared" si="525"/>
        <v>0</v>
      </c>
      <c r="AC528" s="1293">
        <f t="shared" si="530"/>
        <v>0</v>
      </c>
      <c r="AD528" s="1293">
        <f t="shared" si="536"/>
        <v>95000</v>
      </c>
      <c r="AE528" s="1293">
        <f t="shared" si="526"/>
        <v>0</v>
      </c>
      <c r="AF528" s="1294"/>
      <c r="AG528" s="1294"/>
      <c r="AH528" s="1294">
        <f t="shared" si="531"/>
        <v>0</v>
      </c>
      <c r="AI528" s="1294">
        <f t="shared" si="519"/>
        <v>0</v>
      </c>
      <c r="AJ528" s="1293">
        <f t="shared" si="537"/>
        <v>0</v>
      </c>
      <c r="AK528" s="1294"/>
      <c r="AL528" s="1294"/>
      <c r="AM528" s="1294"/>
      <c r="AN528" s="1294"/>
      <c r="AO528" s="1294"/>
      <c r="AP528" s="1294"/>
      <c r="AQ528" s="1294"/>
      <c r="AR528" s="1294">
        <f t="shared" si="513"/>
        <v>0</v>
      </c>
      <c r="AS528" s="1136"/>
      <c r="AT528" s="668">
        <f t="shared" ref="AT528:AT532" si="540">T532+U532+V532-W533</f>
        <v>0</v>
      </c>
      <c r="AU528" s="463"/>
      <c r="AV528" s="468">
        <f t="shared" si="504"/>
        <v>0</v>
      </c>
      <c r="AW528" s="468">
        <f t="shared" si="539"/>
        <v>0</v>
      </c>
      <c r="AX528" s="272"/>
      <c r="AY528" s="272"/>
      <c r="AZ528" s="272"/>
      <c r="BA528" s="272"/>
      <c r="BB528" s="272"/>
      <c r="BC528" s="437"/>
      <c r="BD528" s="437"/>
      <c r="BE528">
        <f>W534/O529*100</f>
        <v>0</v>
      </c>
      <c r="BF528" s="437">
        <f>BE528-X536</f>
        <v>0</v>
      </c>
    </row>
    <row r="529" spans="1:59" ht="39" customHeight="1">
      <c r="A529" s="1376"/>
      <c r="B529" s="1573"/>
      <c r="C529" s="1573"/>
      <c r="D529" s="1373" t="s">
        <v>1609</v>
      </c>
      <c r="E529" s="1373" t="s">
        <v>605</v>
      </c>
      <c r="F529" s="1830">
        <v>821000</v>
      </c>
      <c r="G529" s="1864" t="s">
        <v>1644</v>
      </c>
      <c r="H529" s="1575"/>
      <c r="I529" s="1575">
        <v>245000</v>
      </c>
      <c r="J529" s="1380"/>
      <c r="K529" s="1374"/>
      <c r="L529" s="1577"/>
      <c r="M529" s="1301">
        <v>285750</v>
      </c>
      <c r="N529" s="1334">
        <v>65000</v>
      </c>
      <c r="O529" s="1375">
        <f>SUM(L529:N529)</f>
        <v>350750</v>
      </c>
      <c r="P529" s="1577"/>
      <c r="Q529" s="1301">
        <v>445000</v>
      </c>
      <c r="R529" s="1302">
        <v>80000</v>
      </c>
      <c r="S529" s="1375">
        <f>SUM(Q529:R529)</f>
        <v>525000</v>
      </c>
      <c r="T529" s="1577"/>
      <c r="U529" s="1301"/>
      <c r="V529" s="1302"/>
      <c r="W529" s="1375">
        <f>SUM(T529:V529)</f>
        <v>0</v>
      </c>
      <c r="X529" s="1578">
        <f t="shared" si="535"/>
        <v>0</v>
      </c>
      <c r="Y529" s="2457"/>
      <c r="Z529" s="1136"/>
      <c r="AA529" s="1136"/>
      <c r="AB529" s="1293">
        <f t="shared" si="525"/>
        <v>0</v>
      </c>
      <c r="AC529" s="1293">
        <f t="shared" si="530"/>
        <v>0</v>
      </c>
      <c r="AD529" s="1293">
        <f t="shared" si="536"/>
        <v>-350750</v>
      </c>
      <c r="AE529" s="1293">
        <f t="shared" si="526"/>
        <v>0</v>
      </c>
      <c r="AF529" s="1294"/>
      <c r="AG529" s="1294"/>
      <c r="AH529" s="1294">
        <f t="shared" si="531"/>
        <v>0</v>
      </c>
      <c r="AI529" s="1294">
        <f t="shared" si="519"/>
        <v>0</v>
      </c>
      <c r="AJ529" s="1293">
        <f t="shared" si="537"/>
        <v>0</v>
      </c>
      <c r="AK529" s="1294"/>
      <c r="AL529" s="1294"/>
      <c r="AM529" s="1294"/>
      <c r="AN529" s="1294"/>
      <c r="AO529" s="1294"/>
      <c r="AP529" s="1294"/>
      <c r="AQ529" s="1294"/>
      <c r="AR529" s="1294">
        <f t="shared" si="513"/>
        <v>0</v>
      </c>
      <c r="AS529" s="1136"/>
      <c r="AT529" s="668">
        <f t="shared" si="540"/>
        <v>0</v>
      </c>
      <c r="AU529" s="463"/>
      <c r="AV529" s="468">
        <f t="shared" si="504"/>
        <v>0</v>
      </c>
      <c r="AW529" s="468">
        <f t="shared" si="539"/>
        <v>0</v>
      </c>
      <c r="AX529" s="272"/>
      <c r="AY529" s="272"/>
      <c r="AZ529" s="272"/>
      <c r="BA529" s="272"/>
      <c r="BB529" s="272"/>
      <c r="BC529" s="437">
        <f>T534+U534+V534+-W535</f>
        <v>0</v>
      </c>
      <c r="BD529" s="437"/>
      <c r="BF529" s="437"/>
    </row>
    <row r="530" spans="1:59" s="289" customFormat="1" ht="55.5" customHeight="1" thickBot="1">
      <c r="A530" s="1661"/>
      <c r="B530" s="1595"/>
      <c r="C530" s="1595"/>
      <c r="D530" s="1596"/>
      <c r="E530" s="1596"/>
      <c r="F530" s="1831"/>
      <c r="G530" s="1693" t="s">
        <v>791</v>
      </c>
      <c r="H530" s="1694" t="e">
        <f>SUM(H6-H42,H43,H102,H128,H210,H249,H303,H376,H435,H467,H498)</f>
        <v>#REF!</v>
      </c>
      <c r="I530" s="1695" t="e">
        <f>SUM(I529,#REF!,#REF!,#REF!,#REF!,#REF!,#REF!,#REF!,#REF!,#REF!,#REF!,#REF!,I372,I366,I365,I362,I359,I355,I351,I348,I345,I342,#REF!,#REF!,#REF!,I334,I325,#REF!,#REF!,#REF!,#REF!,I248:I248,I203:I206,I200,I198,I193:I196,I186:I191,I183:I184,I182,I179:I180,I175:I176,I173,I171,I133,#REF!,#REF!,#REF!,#REF!,#REF!,#REF!,#REF!,#REF!,I172,I174,I178,#REF!,#REF!,I208,#REF!,#REF!,#REF!,#REF!,#REF!,#REF!)</f>
        <v>#REF!</v>
      </c>
      <c r="J530" s="1695" t="e">
        <f>SUM(#REF!,#REF!,#REF!,#REF!,#REF!,#REF!,#REF!,#REF!,#REF!,#REF!,#REF!,J334,#REF!,#REF!,#REF!,#REF!,#REF!,J133,#REF!,#REF!,#REF!,J335,#REF!,#REF!,#REF!,#REF!,#REF!,#REF!)</f>
        <v>#REF!</v>
      </c>
      <c r="K530" s="1696" t="e">
        <f>SUM(K6-K42,K43,K102,K128,K210,K249,L303,K376,K435,K467,K498)</f>
        <v>#REF!</v>
      </c>
      <c r="L530" s="1620">
        <f>L6+L43+L102+L128+L210+L249+L303+L376+L435+L467+L498</f>
        <v>50927812</v>
      </c>
      <c r="M530" s="1313">
        <f>M6+M43+M102+M128+M210+M249+M303+M376+M435+M467+M498-M529-M425-M414-M373-M367-M363-M360-M357-M353-M352-M349-M346-M343-M338-M326-M298-M292-M247-M246-M208-M207-M201-M199-M192-M181-M178-M174-M172-M168-M371-M369</f>
        <v>18471867</v>
      </c>
      <c r="N530" s="1314">
        <f>N6+N43+N102+N128+N210+N249+N303+N376+N435+N467+N498-N529-N423-N421-N408-N405-N401-N371-N336-N279-N42-N296-N295-N292-N290-N402-N424</f>
        <v>6636340</v>
      </c>
      <c r="O530" s="1335">
        <f>O6+O43+O102+O128+O210+O249+O303+O376+O435+O467+O498-O529-O425-O424-O421-O414-O408-O405-O402-O373-O371-O367-O363-O360-O357-O353-O352-O349-O346-O343-O338-O336-O326-O298-O296-O295-O292-O290-O279-O247-O246-O208-O207-O201-O199-O192-O181-O178-O174-O172-O168-O42-O369</f>
        <v>76036020</v>
      </c>
      <c r="P530" s="1620">
        <f>P6+P43+P102+P128+P210+P249+P303+P376+P435+P467+P498</f>
        <v>30704690</v>
      </c>
      <c r="Q530" s="1313">
        <f>Q6+Q43+Q102+Q128+Q210+Q249+Q303+Q376+Q435+Q467+Q498</f>
        <v>9617100</v>
      </c>
      <c r="R530" s="1314">
        <f t="shared" ref="R530" si="541">R6+R43+R102+R128+R210+R249+R303+R376+R435+R467+R498</f>
        <v>1856609</v>
      </c>
      <c r="S530" s="1335">
        <f>S6+S43+S102+S128+S210+S249+S303+S376+S435+S467+S498-S529-S425-S424-S421-S414-S408-S405-S402-S375-S373-S369-S365-S362-S359-S354-S353-S349-S346-S343-S338-S336-S326-S298-S296-S295-S292-S290-S279-S247-S246-S209-S198-S196-S189-S178-S175-S172-S168-S42-S371</f>
        <v>37811481</v>
      </c>
      <c r="T530" s="1620">
        <f>T6+T43+T102+T128+T210+T249+T303+T376+T435+T467+T498</f>
        <v>45488110</v>
      </c>
      <c r="U530" s="1313">
        <f t="shared" ref="U530:V530" si="542">U6+U43+U102+U128+U210+U249+U303+U376+U435+U467+U498</f>
        <v>13789967</v>
      </c>
      <c r="V530" s="1314">
        <f t="shared" si="542"/>
        <v>1772311</v>
      </c>
      <c r="W530" s="1484">
        <f>W6+W43+W102+W128+W210+W249+W303+W376+W435+W467+W498</f>
        <v>61050388</v>
      </c>
      <c r="X530" s="1790">
        <f t="shared" si="535"/>
        <v>80.291403995106521</v>
      </c>
      <c r="Y530" s="758"/>
      <c r="Z530" s="1135"/>
      <c r="AA530" s="1135">
        <f>'[1]PRIH REBALANS'!$AK$229</f>
        <v>61050388</v>
      </c>
      <c r="AB530" s="1293">
        <f>T530+U530+V530-W530</f>
        <v>0</v>
      </c>
      <c r="AC530" s="1293">
        <f>T530+U530+V530-W530</f>
        <v>0</v>
      </c>
      <c r="AD530" s="1293">
        <f t="shared" si="536"/>
        <v>-14985632</v>
      </c>
      <c r="AE530" s="1293">
        <f>T530+U530+V530-W530</f>
        <v>0</v>
      </c>
      <c r="AF530" s="1293"/>
      <c r="AG530" s="1293"/>
      <c r="AH530" s="1294">
        <f>T530-L530</f>
        <v>-5439702</v>
      </c>
      <c r="AI530" s="1294">
        <f t="shared" si="519"/>
        <v>0</v>
      </c>
      <c r="AJ530" s="1293">
        <f t="shared" si="537"/>
        <v>0</v>
      </c>
      <c r="AK530" s="1294"/>
      <c r="AL530" s="1294"/>
      <c r="AM530" s="1294"/>
      <c r="AN530" s="1294"/>
      <c r="AO530" s="1294"/>
      <c r="AP530" s="1294"/>
      <c r="AQ530" s="1294"/>
      <c r="AR530" s="1294"/>
      <c r="AS530" s="1135"/>
      <c r="AT530" s="668">
        <f t="shared" si="540"/>
        <v>0</v>
      </c>
      <c r="AU530" s="668">
        <f>'[3]PRIH REBALANS'!$AG$1167</f>
        <v>50927810</v>
      </c>
      <c r="AV530" s="468">
        <f t="shared" si="504"/>
        <v>0</v>
      </c>
      <c r="AW530" s="468">
        <f t="shared" si="539"/>
        <v>0</v>
      </c>
      <c r="AX530" s="668">
        <f>'[2]PRIH REBALANS'!$AK$1165-'[2]PRIH REBALANS'!$AI$1165</f>
        <v>75945018</v>
      </c>
      <c r="AY530" s="668"/>
      <c r="AZ530" s="668"/>
      <c r="BA530" s="668"/>
      <c r="BB530" s="668"/>
      <c r="BC530"/>
      <c r="BD530" s="437"/>
      <c r="BE530"/>
      <c r="BF530"/>
      <c r="BG530" s="343" t="e">
        <f>SUM(BG6,BG43,BG102,BG128,BG210,BG249,BG303,BG376,BG435,BG467,BG498:BG499)</f>
        <v>#REF!</v>
      </c>
    </row>
    <row r="531" spans="1:59" ht="27.6" customHeight="1" thickTop="1" thickBot="1">
      <c r="A531" s="1697"/>
      <c r="B531" s="1698"/>
      <c r="C531" s="1699"/>
      <c r="D531" s="1699"/>
      <c r="E531" s="1699"/>
      <c r="F531" s="1832"/>
      <c r="G531" s="1700" t="s">
        <v>1343</v>
      </c>
      <c r="H531" s="1701"/>
      <c r="I531" s="1701"/>
      <c r="J531" s="1701"/>
      <c r="K531" s="1701"/>
      <c r="L531" s="1702"/>
      <c r="M531" s="1703">
        <f>M529+M425+M414+M373+M367+M363+M360+M357+M353+M352+M349+M346+M343+M338+M326+M298+M292+M247+M246+M208+M207+M201+M199+M192+M181+M178+M174+M172+M168+M369+M371</f>
        <v>17867344</v>
      </c>
      <c r="N531" s="1704">
        <f>N529+N423+N421+N408+N405+N401+N371+N336+N296+N289+N279+N42+N295+N292+N290+N402+N424</f>
        <v>2922356</v>
      </c>
      <c r="O531" s="1481">
        <f>L531+M531+N531</f>
        <v>20789700</v>
      </c>
      <c r="P531" s="1705">
        <f>SUM(P6+P41+P74+P98+P125+P209+P246+P303+P376+P433+P468+P499)</f>
        <v>13427310</v>
      </c>
      <c r="Q531" s="1706">
        <f>SUM(Q6+Q41+Q125+Q209+Q246+Q303+Q376+Q433+Q499)</f>
        <v>6673750</v>
      </c>
      <c r="R531" s="1707">
        <f>SUM(R6+R41+R125+R209+R246+R303+R376+R433+R499)</f>
        <v>1811609</v>
      </c>
      <c r="S531" s="1335">
        <f>SUM(P531+Q531+R531)</f>
        <v>21912669</v>
      </c>
      <c r="T531" s="1620"/>
      <c r="U531" s="1313"/>
      <c r="V531" s="1314"/>
      <c r="W531" s="1486"/>
      <c r="X531" s="1790"/>
      <c r="Y531" s="758"/>
      <c r="Z531" s="1135"/>
      <c r="AA531" s="1135"/>
      <c r="AB531" s="1293">
        <f t="shared" ref="AB531:AB534" si="543">T531+U531+V531-W531</f>
        <v>0</v>
      </c>
      <c r="AC531" s="1293"/>
      <c r="AD531" s="1293">
        <f t="shared" si="536"/>
        <v>-20789700</v>
      </c>
      <c r="AE531" s="1293"/>
      <c r="AF531" s="1293"/>
      <c r="AG531" s="1294"/>
      <c r="AH531" s="1294"/>
      <c r="AI531" s="1294"/>
      <c r="AJ531" s="1294"/>
      <c r="AK531" s="1294"/>
      <c r="AL531" s="1294"/>
      <c r="AM531" s="1294"/>
      <c r="AN531" s="1294"/>
      <c r="AO531" s="1294"/>
      <c r="AP531" s="1294"/>
      <c r="AQ531" s="1294"/>
      <c r="AR531" s="1294"/>
      <c r="AS531" s="1139"/>
      <c r="AT531" s="668">
        <f t="shared" si="540"/>
        <v>0</v>
      </c>
      <c r="AU531" s="675"/>
      <c r="AV531" s="468">
        <f t="shared" si="504"/>
        <v>0</v>
      </c>
      <c r="AW531" s="468">
        <f t="shared" si="539"/>
        <v>0</v>
      </c>
      <c r="AX531" s="209"/>
      <c r="AZ531" s="209"/>
      <c r="BF531" s="209">
        <f>W536-U535</f>
        <v>0</v>
      </c>
      <c r="BG531" s="209" t="e">
        <f>BG530-W535</f>
        <v>#REF!</v>
      </c>
    </row>
    <row r="532" spans="1:59" ht="27.6" customHeight="1" thickTop="1" thickBot="1">
      <c r="A532" s="1771"/>
      <c r="B532" s="1772"/>
      <c r="C532" s="1773"/>
      <c r="D532" s="1773"/>
      <c r="E532" s="1773"/>
      <c r="F532" s="1833"/>
      <c r="G532" s="1708" t="s">
        <v>1494</v>
      </c>
      <c r="H532" s="1701"/>
      <c r="I532" s="1701"/>
      <c r="J532" s="1701"/>
      <c r="K532" s="1701"/>
      <c r="L532" s="1774">
        <f>L530+L531</f>
        <v>50927812</v>
      </c>
      <c r="M532" s="1775">
        <f t="shared" ref="M532" si="544">M530+M531</f>
        <v>36339211</v>
      </c>
      <c r="N532" s="1776">
        <f>N530+N531</f>
        <v>9558696</v>
      </c>
      <c r="O532" s="1777">
        <f>O530+O531</f>
        <v>96825720</v>
      </c>
      <c r="P532" s="1487"/>
      <c r="Q532" s="1488"/>
      <c r="R532" s="1489"/>
      <c r="S532" s="1478"/>
      <c r="T532" s="1778"/>
      <c r="U532" s="1779"/>
      <c r="V532" s="1780"/>
      <c r="W532" s="1470"/>
      <c r="X532" s="1791"/>
      <c r="Y532" s="758"/>
      <c r="Z532" s="1135"/>
      <c r="AA532" s="1135"/>
      <c r="AB532" s="1293">
        <f t="shared" si="543"/>
        <v>0</v>
      </c>
      <c r="AC532" s="1293"/>
      <c r="AD532" s="1293">
        <f t="shared" si="536"/>
        <v>-96825720</v>
      </c>
      <c r="AE532" s="1293"/>
      <c r="AF532" s="1293"/>
      <c r="AG532" s="1294"/>
      <c r="AH532" s="1294"/>
      <c r="AI532" s="1294"/>
      <c r="AJ532" s="1294"/>
      <c r="AK532" s="1294"/>
      <c r="AL532" s="1294"/>
      <c r="AM532" s="1294"/>
      <c r="AN532" s="1294"/>
      <c r="AO532" s="1294"/>
      <c r="AP532" s="1294"/>
      <c r="AQ532" s="1294"/>
      <c r="AR532" s="1294"/>
      <c r="AS532" s="1139" t="e">
        <f>SUM(AS498,AS467,AS435,AS376,AS303,AS249,AS210,AS128,AS102,AS43,AS6)</f>
        <v>#REF!</v>
      </c>
      <c r="AT532" s="668">
        <f t="shared" si="540"/>
        <v>0</v>
      </c>
      <c r="AU532" s="675">
        <f>SUM(AU6,AU43,AU102,AU128,AU210,AU249,AU303,AU376,AU435,AU467,AU498)</f>
        <v>91584255.400000006</v>
      </c>
      <c r="AV532" s="468">
        <f>'[3]PRIH REBALANS'!$AK$1165</f>
        <v>76036018</v>
      </c>
      <c r="AW532" s="468">
        <f t="shared" si="539"/>
        <v>-76036018</v>
      </c>
      <c r="AX532" s="209"/>
      <c r="BF532" s="209"/>
      <c r="BG532" s="209"/>
    </row>
    <row r="533" spans="1:59" s="328" customFormat="1" ht="27.6" customHeight="1" thickTop="1">
      <c r="A533" s="1781" t="s">
        <v>794</v>
      </c>
      <c r="B533" s="1781"/>
      <c r="C533" s="1782"/>
      <c r="D533" s="1782"/>
      <c r="E533" s="1783"/>
      <c r="F533" s="1783"/>
      <c r="G533" s="1784"/>
      <c r="H533" s="1465"/>
      <c r="I533" s="1465"/>
      <c r="J533" s="1465"/>
      <c r="K533" s="1465"/>
      <c r="L533" s="1465"/>
      <c r="M533" s="1465"/>
      <c r="N533" s="1465"/>
      <c r="O533" s="1785" t="e">
        <f>#REF!-O530</f>
        <v>#REF!</v>
      </c>
      <c r="P533" s="1465"/>
      <c r="Q533" s="1465"/>
      <c r="R533" s="1465"/>
      <c r="S533" s="1466"/>
      <c r="T533" s="1786"/>
      <c r="U533" s="1786"/>
      <c r="V533" s="1786"/>
      <c r="W533" s="1786"/>
      <c r="X533" s="1787"/>
      <c r="Y533" s="2459"/>
      <c r="Z533" s="1764"/>
      <c r="AA533" s="1764"/>
      <c r="AB533" s="1293">
        <f t="shared" si="543"/>
        <v>0</v>
      </c>
      <c r="AC533" s="1763"/>
      <c r="AD533" s="1765" t="e">
        <f t="shared" si="536"/>
        <v>#REF!</v>
      </c>
      <c r="AE533" s="1763"/>
      <c r="AF533" s="1763"/>
      <c r="AG533" s="1763"/>
      <c r="AH533" s="1763"/>
      <c r="AI533" s="1763"/>
      <c r="AJ533" s="1763"/>
      <c r="AK533" s="1763"/>
      <c r="AL533" s="1763"/>
      <c r="AM533" s="1763"/>
      <c r="AN533" s="1763"/>
      <c r="AO533" s="1763"/>
      <c r="AP533" s="1763"/>
      <c r="AQ533" s="1763"/>
      <c r="AR533" s="1763"/>
      <c r="AS533" s="1764"/>
      <c r="AT533" s="1763"/>
      <c r="AU533" s="1763"/>
      <c r="AV533" s="1766"/>
      <c r="AW533" s="1766"/>
      <c r="AX533" s="1340"/>
      <c r="BF533" s="1340"/>
      <c r="BG533" s="1340"/>
    </row>
    <row r="534" spans="1:59" s="328" customFormat="1" ht="27.6" customHeight="1">
      <c r="A534" s="3363"/>
      <c r="B534" s="3363"/>
      <c r="C534" s="3363"/>
      <c r="D534" s="3363"/>
      <c r="E534" s="3363"/>
      <c r="F534" s="3363"/>
      <c r="G534" s="3363"/>
      <c r="H534" s="3363"/>
      <c r="I534" s="3363"/>
      <c r="J534" s="3363"/>
      <c r="K534" s="3363"/>
      <c r="L534" s="3363"/>
      <c r="M534" s="3363"/>
      <c r="N534" s="3363"/>
      <c r="O534" s="3363"/>
      <c r="P534" s="3363"/>
      <c r="Q534" s="3363"/>
      <c r="R534" s="3363"/>
      <c r="S534" s="3363"/>
      <c r="T534" s="3363"/>
      <c r="U534" s="3363"/>
      <c r="V534" s="3363"/>
      <c r="W534" s="3363"/>
      <c r="X534" s="3363"/>
      <c r="Y534" s="2460"/>
      <c r="Z534" s="1767"/>
      <c r="AA534" s="1764"/>
      <c r="AB534" s="1293">
        <f t="shared" si="543"/>
        <v>0</v>
      </c>
      <c r="AC534" s="1763"/>
      <c r="AD534" s="1765">
        <f t="shared" si="536"/>
        <v>0</v>
      </c>
      <c r="AE534" s="1763"/>
      <c r="AF534" s="1763">
        <f>SUM(T530:V530)</f>
        <v>61050388</v>
      </c>
      <c r="AG534" s="1763"/>
      <c r="AH534" s="1763"/>
      <c r="AI534" s="1763"/>
      <c r="AJ534" s="1763"/>
      <c r="AK534" s="1763"/>
      <c r="AL534" s="1763"/>
      <c r="AM534" s="1763"/>
      <c r="AN534" s="1763"/>
      <c r="AO534" s="1763"/>
      <c r="AP534" s="1763"/>
      <c r="AQ534" s="1763"/>
      <c r="AR534" s="1763"/>
      <c r="AS534" s="1767"/>
      <c r="AT534" s="1464"/>
      <c r="AU534" s="1464"/>
      <c r="AV534" s="1766"/>
      <c r="AW534" s="1768"/>
    </row>
    <row r="535" spans="1:59" s="328" customFormat="1" ht="24.75" customHeight="1">
      <c r="A535" s="957" t="s">
        <v>1679</v>
      </c>
      <c r="B535" s="957"/>
      <c r="C535" s="957"/>
      <c r="D535" s="957"/>
      <c r="E535" s="957"/>
      <c r="F535" s="957"/>
      <c r="G535" s="957"/>
      <c r="H535" s="957"/>
      <c r="I535" s="957"/>
      <c r="J535" s="957"/>
      <c r="K535" s="957"/>
      <c r="L535" s="957"/>
      <c r="M535" s="957"/>
      <c r="N535" s="957"/>
      <c r="O535" s="1788"/>
      <c r="P535" s="1464"/>
      <c r="Q535" s="1467"/>
      <c r="R535" s="1467"/>
      <c r="S535" s="1467"/>
      <c r="T535" s="1468"/>
      <c r="U535" s="1468"/>
      <c r="V535" s="1468"/>
      <c r="W535" s="1762"/>
      <c r="X535" s="1763"/>
      <c r="Y535" s="2459"/>
      <c r="Z535" s="1764"/>
      <c r="AA535" s="1764"/>
      <c r="AB535" s="1763"/>
      <c r="AC535" s="1763"/>
      <c r="AD535" s="1765">
        <f t="shared" si="536"/>
        <v>0</v>
      </c>
      <c r="AE535" s="1763"/>
      <c r="AF535" s="1763">
        <f>AF534-W530</f>
        <v>0</v>
      </c>
      <c r="AG535" s="1763"/>
      <c r="AH535" s="1763"/>
      <c r="AI535" s="1763"/>
      <c r="AJ535" s="1763"/>
      <c r="AK535" s="1763"/>
      <c r="AL535" s="1763"/>
      <c r="AM535" s="1763"/>
      <c r="AN535" s="1763"/>
      <c r="AO535" s="1763"/>
      <c r="AP535" s="1763"/>
      <c r="AQ535" s="1765"/>
      <c r="AR535" s="1763"/>
      <c r="AS535" s="1769"/>
      <c r="AV535" s="1768"/>
      <c r="AW535" s="1768"/>
    </row>
    <row r="536" spans="1:59" s="328" customFormat="1" ht="21" customHeight="1">
      <c r="A536" s="957"/>
      <c r="B536" s="957"/>
      <c r="C536" s="957"/>
      <c r="D536" s="957"/>
      <c r="E536" s="957"/>
      <c r="F536" s="957"/>
      <c r="G536" s="957"/>
      <c r="H536" s="957"/>
      <c r="I536" s="957"/>
      <c r="J536" s="957"/>
      <c r="K536" s="957"/>
      <c r="L536" s="957"/>
      <c r="M536" s="957"/>
      <c r="N536" s="957"/>
      <c r="O536" s="1788"/>
      <c r="P536" s="957"/>
      <c r="Q536" s="1469"/>
      <c r="R536" s="1469"/>
      <c r="S536" s="1469"/>
      <c r="T536" s="1468"/>
      <c r="U536" s="1468"/>
      <c r="V536" s="1468"/>
      <c r="W536" s="1468"/>
      <c r="X536" s="1763"/>
      <c r="Y536" s="2459"/>
      <c r="Z536" s="1764"/>
      <c r="AA536" s="1764"/>
      <c r="AB536" s="1763"/>
      <c r="AC536" s="1763"/>
      <c r="AD536" s="1763"/>
      <c r="AE536" s="1763"/>
      <c r="AF536" s="1763"/>
      <c r="AG536" s="1763"/>
      <c r="AH536" s="1763"/>
      <c r="AI536" s="1763"/>
      <c r="AJ536" s="1763"/>
      <c r="AK536" s="1763"/>
      <c r="AL536" s="1763"/>
      <c r="AM536" s="1763"/>
      <c r="AN536" s="1763"/>
      <c r="AO536" s="1763"/>
      <c r="AP536" s="1763"/>
      <c r="AQ536" s="1765"/>
      <c r="AR536" s="1765"/>
      <c r="AS536" s="1769"/>
      <c r="AV536" s="1768"/>
      <c r="AW536" s="1766">
        <f>'[2]PRIH REBALANS'!$AG$1165</f>
        <v>50836810</v>
      </c>
    </row>
    <row r="537" spans="1:59" s="328" customFormat="1" ht="24" customHeight="1">
      <c r="A537" s="957" t="s">
        <v>854</v>
      </c>
      <c r="B537" s="957"/>
      <c r="C537" s="957"/>
      <c r="D537" s="957"/>
      <c r="E537" s="957"/>
      <c r="F537" s="957"/>
      <c r="G537" s="957"/>
      <c r="H537" s="957"/>
      <c r="I537" s="957"/>
      <c r="J537" s="957"/>
      <c r="K537" s="957"/>
      <c r="L537" s="957"/>
      <c r="M537" s="1789"/>
      <c r="N537" s="957"/>
      <c r="O537" s="1788"/>
      <c r="P537" s="957"/>
      <c r="Q537" s="1469"/>
      <c r="R537" s="1469"/>
      <c r="S537" s="1469"/>
      <c r="T537" s="1341"/>
      <c r="U537" s="1341"/>
      <c r="V537" s="1341"/>
      <c r="W537" s="1468"/>
      <c r="X537" s="1763"/>
      <c r="Y537" s="2459"/>
      <c r="Z537" s="1764"/>
      <c r="AA537" s="1764"/>
      <c r="AB537" s="1763"/>
      <c r="AC537" s="1763"/>
      <c r="AD537" s="1763"/>
      <c r="AE537" s="1763"/>
      <c r="AF537" s="1763"/>
      <c r="AG537" s="1765"/>
      <c r="AH537" s="1765"/>
      <c r="AI537" s="1765"/>
      <c r="AJ537" s="1765"/>
      <c r="AK537" s="1765"/>
      <c r="AL537" s="1765"/>
      <c r="AM537" s="1765"/>
      <c r="AN537" s="1765"/>
      <c r="AO537" s="1765"/>
      <c r="AP537" s="1765"/>
      <c r="AQ537" s="1765"/>
      <c r="AR537" s="1765"/>
      <c r="AS537" s="1769"/>
      <c r="AV537" s="1766"/>
      <c r="AW537" s="1766">
        <f>'[2]PRIH REBALANS'!$AH$1165+'[2]PRIH REBALANS'!$AJ$1165</f>
        <v>25108208</v>
      </c>
    </row>
    <row r="538" spans="1:59" s="328" customFormat="1" ht="12.75" customHeight="1">
      <c r="A538" s="957"/>
      <c r="B538" s="957"/>
      <c r="C538" s="957"/>
      <c r="D538" s="957"/>
      <c r="E538" s="957"/>
      <c r="F538" s="957"/>
      <c r="G538" s="957"/>
      <c r="H538" s="957"/>
      <c r="I538" s="957"/>
      <c r="J538" s="957"/>
      <c r="K538" s="957"/>
      <c r="L538" s="957"/>
      <c r="M538" s="957"/>
      <c r="N538" s="957"/>
      <c r="O538" s="1788"/>
      <c r="P538" s="957"/>
      <c r="Q538" s="1469"/>
      <c r="R538" s="1469"/>
      <c r="S538" s="1469"/>
      <c r="T538" s="1467"/>
      <c r="U538" s="1467"/>
      <c r="V538" s="1467"/>
      <c r="W538" s="1341"/>
      <c r="X538" s="1763"/>
      <c r="Y538" s="2459"/>
      <c r="Z538" s="1764"/>
      <c r="AA538" s="1764"/>
      <c r="AB538" s="1763"/>
      <c r="AC538" s="1763"/>
      <c r="AD538" s="1763"/>
      <c r="AE538" s="1763"/>
      <c r="AF538" s="1763"/>
      <c r="AG538" s="1765"/>
      <c r="AH538" s="1765"/>
      <c r="AI538" s="1765"/>
      <c r="AJ538" s="1765"/>
      <c r="AK538" s="1765"/>
      <c r="AL538" s="1765"/>
      <c r="AM538" s="1765"/>
      <c r="AN538" s="1765"/>
      <c r="AO538" s="1765"/>
      <c r="AP538" s="1765"/>
      <c r="AQ538" s="1763"/>
      <c r="AR538" s="1765"/>
      <c r="AS538" s="1769"/>
      <c r="AV538" s="1768"/>
      <c r="AW538" s="1766">
        <f>AW536+AW537</f>
        <v>75945018</v>
      </c>
    </row>
    <row r="539" spans="1:59" s="328" customFormat="1" ht="21" customHeight="1">
      <c r="A539" s="957" t="s">
        <v>856</v>
      </c>
      <c r="B539" s="957"/>
      <c r="C539" s="957"/>
      <c r="D539" s="957"/>
      <c r="E539" s="957"/>
      <c r="F539" s="957"/>
      <c r="G539" s="957"/>
      <c r="H539" s="957"/>
      <c r="I539" s="957"/>
      <c r="J539" s="957"/>
      <c r="K539" s="957"/>
      <c r="L539" s="957"/>
      <c r="M539" s="957"/>
      <c r="N539" s="957"/>
      <c r="O539" s="1788"/>
      <c r="P539" s="957"/>
      <c r="Q539" s="1469"/>
      <c r="R539" s="1469"/>
      <c r="S539" s="1469"/>
      <c r="T539" s="1770"/>
      <c r="U539" s="1770"/>
      <c r="V539" s="1770"/>
      <c r="W539" s="1467"/>
      <c r="X539" s="1763"/>
      <c r="Y539" s="2459"/>
      <c r="Z539" s="1764"/>
      <c r="AA539" s="1764"/>
      <c r="AB539" s="1763"/>
      <c r="AC539" s="1763"/>
      <c r="AD539" s="1763"/>
      <c r="AE539" s="1763"/>
      <c r="AF539" s="1763"/>
      <c r="AG539" s="1765"/>
      <c r="AH539" s="1765"/>
      <c r="AI539" s="1765"/>
      <c r="AJ539" s="1765"/>
      <c r="AK539" s="1765"/>
      <c r="AL539" s="1765"/>
      <c r="AM539" s="1765"/>
      <c r="AN539" s="1765"/>
      <c r="AO539" s="1765"/>
      <c r="AP539" s="1765"/>
      <c r="AQ539" s="1464"/>
      <c r="AR539" s="1763"/>
      <c r="AS539" s="1769"/>
      <c r="AV539" s="1766"/>
      <c r="AW539" s="1768"/>
    </row>
    <row r="540" spans="1:59" ht="36" customHeight="1">
      <c r="A540" s="1094"/>
      <c r="B540" s="1094"/>
      <c r="C540" s="1094"/>
      <c r="D540" s="1094"/>
      <c r="E540" s="1094"/>
      <c r="F540" s="1094"/>
      <c r="G540" s="328"/>
      <c r="H540" s="1094"/>
      <c r="I540" s="1094"/>
      <c r="J540" s="1094"/>
      <c r="K540" s="1094"/>
      <c r="L540" s="328"/>
      <c r="M540" s="328"/>
      <c r="N540" s="328"/>
      <c r="O540" s="1339"/>
      <c r="R540" s="328"/>
      <c r="S540" s="328"/>
      <c r="T540" s="1462">
        <f>'[1]PRIH REBALANS'!$AG$1153</f>
        <v>45488110</v>
      </c>
      <c r="U540" s="1462">
        <f>'[1]PRIH REBALANS'!$AH$1155</f>
        <v>13789967</v>
      </c>
      <c r="V540" s="688">
        <f>'[1]PRIH REBALANS'!$AJ$1155</f>
        <v>1772311</v>
      </c>
      <c r="W540" s="688">
        <f>'Rashodi i izdaci-opći dio'!O45</f>
        <v>61050388</v>
      </c>
      <c r="X540" s="1296"/>
      <c r="Y540" s="2461"/>
      <c r="Z540" s="1140"/>
      <c r="AA540" s="1140"/>
      <c r="AB540" s="1296"/>
      <c r="AC540" s="1296"/>
      <c r="AD540" s="1296"/>
      <c r="AE540" s="1296"/>
      <c r="AF540" s="1296"/>
      <c r="AG540" s="1296"/>
      <c r="AH540" s="1296"/>
      <c r="AI540" s="1296"/>
      <c r="AJ540" s="1296"/>
      <c r="AK540" s="1296"/>
      <c r="AL540" s="1296"/>
      <c r="AM540" s="1296"/>
      <c r="AN540" s="1296"/>
      <c r="AO540" s="1296"/>
      <c r="AP540" s="1296"/>
      <c r="AR540" s="1297"/>
      <c r="AS540" s="1142"/>
      <c r="AT540" s="209"/>
      <c r="AU540" s="209"/>
      <c r="AV540" s="468"/>
    </row>
    <row r="541" spans="1:59" ht="3.75" hidden="1" customHeight="1">
      <c r="A541" s="1094"/>
      <c r="B541" s="1094"/>
      <c r="C541" s="1094"/>
      <c r="D541" s="1094"/>
      <c r="E541" s="1094"/>
      <c r="F541" s="1094"/>
      <c r="G541" s="328"/>
      <c r="H541" s="1094"/>
      <c r="I541" s="1094"/>
      <c r="J541" s="1094"/>
      <c r="K541" s="1094"/>
      <c r="L541" s="328"/>
      <c r="M541" s="328"/>
      <c r="N541" s="328"/>
      <c r="O541" s="1339"/>
      <c r="P541" s="328"/>
      <c r="Q541" s="328"/>
      <c r="R541" s="328"/>
      <c r="S541" s="328"/>
      <c r="T541" s="328"/>
      <c r="U541" s="328"/>
      <c r="V541" s="688"/>
      <c r="W541" s="688"/>
      <c r="X541" s="1297"/>
      <c r="Y541" s="2462"/>
      <c r="Z541" s="1141"/>
      <c r="AA541" s="1141"/>
      <c r="AB541" s="1297"/>
      <c r="AC541" s="1297"/>
      <c r="AD541" s="1297"/>
      <c r="AE541" s="1297"/>
      <c r="AF541" s="1297"/>
      <c r="AG541" s="1297"/>
      <c r="AH541" s="1297"/>
      <c r="AI541" s="1297"/>
      <c r="AJ541" s="1297"/>
      <c r="AK541" s="1297"/>
      <c r="AL541" s="1297"/>
      <c r="AM541" s="1297"/>
      <c r="AN541" s="1297"/>
      <c r="AO541" s="1297"/>
      <c r="AP541" s="1297"/>
    </row>
    <row r="542" spans="1:59" ht="39" hidden="1" customHeight="1">
      <c r="P542" s="328"/>
      <c r="Q542" s="328"/>
      <c r="R542" s="328"/>
      <c r="S542" s="328"/>
      <c r="T542" s="1343"/>
      <c r="U542" s="1343"/>
      <c r="AA542" s="1792"/>
    </row>
    <row r="543" spans="1:59" ht="39" customHeight="1">
      <c r="L543" s="688"/>
      <c r="M543" s="688"/>
      <c r="N543" s="688"/>
      <c r="O543" s="1344"/>
      <c r="T543" s="1340">
        <f>T530-T540</f>
        <v>0</v>
      </c>
      <c r="U543" s="1340">
        <f t="shared" ref="U543:W543" si="545">U530-U540</f>
        <v>0</v>
      </c>
      <c r="V543" s="1340">
        <f t="shared" si="545"/>
        <v>0</v>
      </c>
      <c r="W543" s="1340">
        <f t="shared" si="545"/>
        <v>0</v>
      </c>
      <c r="AA543" s="1792"/>
      <c r="AV543" s="468"/>
    </row>
    <row r="544" spans="1:59" ht="39" customHeight="1">
      <c r="L544" s="688"/>
      <c r="M544" s="688"/>
      <c r="N544" s="688"/>
      <c r="O544" s="688"/>
      <c r="P544" s="688"/>
      <c r="Q544" s="688"/>
      <c r="R544" s="688"/>
      <c r="S544" s="688"/>
      <c r="T544" s="688">
        <f>'[3]PRIH REBALANS'!$AG$1165</f>
        <v>50927810</v>
      </c>
      <c r="U544" s="688">
        <f>'[3]PRIH REBALANS'!$AH$1165</f>
        <v>18471868</v>
      </c>
      <c r="V544" s="688">
        <f>'[3]PRIH REBALANS'!$AJ$1165</f>
        <v>6636340</v>
      </c>
      <c r="AS544" s="1142"/>
      <c r="AT544" s="209"/>
      <c r="AU544" s="209"/>
      <c r="AV544" s="468"/>
    </row>
    <row r="545" spans="16:44" ht="39" customHeight="1">
      <c r="P545" s="688"/>
      <c r="Q545" s="688"/>
      <c r="R545" s="688"/>
      <c r="S545" s="688"/>
      <c r="W545" s="688">
        <f>'[3]PRIH REBALANS'!$AG$1165+'[3]PRIH REBALANS'!$AH$1165+'[3]PRIH REBALANS'!$AJ$1165</f>
        <v>76036018</v>
      </c>
      <c r="AQ545" s="274"/>
    </row>
    <row r="546" spans="16:44" ht="39" customHeight="1">
      <c r="AR546" s="274"/>
    </row>
    <row r="547" spans="16:44" ht="39" customHeight="1">
      <c r="T547" s="1345">
        <f>T544-T534</f>
        <v>50927810</v>
      </c>
      <c r="U547" s="1345">
        <f t="shared" ref="U547:W548" si="546">U544-U534</f>
        <v>18471868</v>
      </c>
      <c r="V547" s="1345">
        <f t="shared" si="546"/>
        <v>6636340</v>
      </c>
      <c r="X547" s="274"/>
      <c r="Y547" s="468"/>
      <c r="Z547" s="1142"/>
      <c r="AA547" s="1142"/>
      <c r="AB547" s="274"/>
      <c r="AC547" s="274"/>
      <c r="AD547" s="274"/>
      <c r="AE547" s="274"/>
      <c r="AF547" s="274"/>
      <c r="AG547" s="274"/>
      <c r="AH547" s="274"/>
      <c r="AI547" s="274"/>
      <c r="AJ547" s="274"/>
      <c r="AK547" s="274"/>
      <c r="AL547" s="274"/>
      <c r="AM547" s="274"/>
      <c r="AN547" s="274"/>
      <c r="AO547" s="274"/>
      <c r="AP547" s="274"/>
    </row>
    <row r="548" spans="16:44" ht="39" customHeight="1">
      <c r="T548" s="688"/>
      <c r="U548" s="688">
        <f>U535</f>
        <v>0</v>
      </c>
      <c r="V548" s="688">
        <f>V535</f>
        <v>0</v>
      </c>
      <c r="W548" s="1345">
        <f t="shared" si="546"/>
        <v>76036018</v>
      </c>
    </row>
    <row r="549" spans="16:44" ht="39" customHeight="1">
      <c r="P549" s="688"/>
      <c r="Q549" s="688"/>
      <c r="R549" s="688"/>
      <c r="S549" s="688"/>
      <c r="T549" s="688">
        <f>T544+T548</f>
        <v>50927810</v>
      </c>
      <c r="U549" s="688">
        <f t="shared" ref="U549:W550" si="547">U544+U548</f>
        <v>18471868</v>
      </c>
      <c r="V549" s="688">
        <f t="shared" si="547"/>
        <v>6636340</v>
      </c>
      <c r="W549" s="688">
        <f>'[3]PRIH REBALANS'!$AI$1165</f>
        <v>20789698.09</v>
      </c>
      <c r="AQ549" s="274"/>
    </row>
    <row r="550" spans="16:44" ht="39" customHeight="1">
      <c r="P550" s="688"/>
      <c r="Q550" s="688"/>
      <c r="R550" s="688"/>
      <c r="S550" s="688"/>
      <c r="W550" s="688">
        <f t="shared" si="547"/>
        <v>96825716.090000004</v>
      </c>
      <c r="AR550" s="274"/>
    </row>
    <row r="551" spans="16:44" ht="39" customHeight="1">
      <c r="X551" s="274"/>
      <c r="Y551" s="468"/>
      <c r="Z551" s="1142"/>
      <c r="AA551" s="1142"/>
      <c r="AB551" s="274"/>
      <c r="AC551" s="274"/>
      <c r="AD551" s="274"/>
      <c r="AE551" s="274"/>
      <c r="AF551" s="274"/>
      <c r="AG551" s="274"/>
      <c r="AH551" s="274"/>
      <c r="AI551" s="274"/>
      <c r="AJ551" s="274"/>
      <c r="AK551" s="274"/>
      <c r="AL551" s="274"/>
      <c r="AM551" s="274"/>
      <c r="AN551" s="274"/>
      <c r="AO551" s="274"/>
      <c r="AP551" s="274"/>
    </row>
  </sheetData>
  <mergeCells count="14">
    <mergeCell ref="A534:X534"/>
    <mergeCell ref="T3:W3"/>
    <mergeCell ref="X3:X4"/>
    <mergeCell ref="P3:S3"/>
    <mergeCell ref="A1:X1"/>
    <mergeCell ref="G3:G4"/>
    <mergeCell ref="L3:O3"/>
    <mergeCell ref="A2:S2"/>
    <mergeCell ref="A3:A4"/>
    <mergeCell ref="B3:B4"/>
    <mergeCell ref="C3:C4"/>
    <mergeCell ref="D3:D4"/>
    <mergeCell ref="E3:E4"/>
    <mergeCell ref="F3:F4"/>
  </mergeCells>
  <phoneticPr fontId="34" type="noConversion"/>
  <printOptions horizontalCentered="1"/>
  <pageMargins left="0.51181102362204722" right="0.70866141732283472" top="0.74803149606299213" bottom="0.74803149606299213" header="0.31496062992125984" footer="0.31496062992125984"/>
  <pageSetup paperSize="9" scale="34" orientation="landscape" r:id="rId1"/>
  <headerFooter>
    <oddFooter>&amp;L&amp;"Times New Roman,Uobičajeno"&amp;12&amp;K00-030Budžet Grada Mostara za 2022
.godinu-Rashodi i izdaci-poseban dio&amp;C&amp;12&amp;P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37</vt:i4>
      </vt:variant>
      <vt:variant>
        <vt:lpstr>Imenovani rasponi</vt:lpstr>
      </vt:variant>
      <vt:variant>
        <vt:i4>46</vt:i4>
      </vt:variant>
    </vt:vector>
  </HeadingPairs>
  <TitlesOfParts>
    <vt:vector size="83" baseType="lpstr">
      <vt:lpstr>Naslovnica</vt:lpstr>
      <vt:lpstr>Naslovnica-nevažeća</vt:lpstr>
      <vt:lpstr>Prihodi-opći dio</vt:lpstr>
      <vt:lpstr>prihodi posebni dio</vt:lpstr>
      <vt:lpstr>GP PRIHODI 2021</vt:lpstr>
      <vt:lpstr>GP Prihodi</vt:lpstr>
      <vt:lpstr>Rashodi i izdaci-opći dio</vt:lpstr>
      <vt:lpstr>List4</vt:lpstr>
      <vt:lpstr>Rashodi i izdaci-poseban dio</vt:lpstr>
      <vt:lpstr>List6</vt:lpstr>
      <vt:lpstr>List3</vt:lpstr>
      <vt:lpstr>List2</vt:lpstr>
      <vt:lpstr>List1</vt:lpstr>
      <vt:lpstr>Služba za nekretnine</vt:lpstr>
      <vt:lpstr>Služba za kulturu-Prilog br. 1</vt:lpstr>
      <vt:lpstr>Služba za odgoj-Prilog br. 2</vt:lpstr>
      <vt:lpstr>Socijani segment-Prilog br.3</vt:lpstr>
      <vt:lpstr>Zaštita boraca-Prilog br.4</vt:lpstr>
      <vt:lpstr>Građenje i obnova-Prilog br.5</vt:lpstr>
      <vt:lpstr>Sl. za gr. inf GP Pri 6</vt:lpstr>
      <vt:lpstr>GP KAPITA GRA</vt:lpstr>
      <vt:lpstr>Sl za gra. Nak od ele. pr PR 7</vt:lpstr>
      <vt:lpstr>Slu izg inf stru ob Ka gran 8 </vt:lpstr>
      <vt:lpstr>Služba za privredu-Prilog br.9</vt:lpstr>
      <vt:lpstr>Sl. za kom. posl.-Prilog br. 10</vt:lpstr>
      <vt:lpstr>BSC Prilog br 11</vt:lpstr>
      <vt:lpstr>ASG tab 12</vt:lpstr>
      <vt:lpstr>Tekući grantovi</vt:lpstr>
      <vt:lpstr>List7</vt:lpstr>
      <vt:lpstr>GP prihodi tab 13</vt:lpstr>
      <vt:lpstr>List5</vt:lpstr>
      <vt:lpstr> SL inf Kapitalni grantovi 14</vt:lpstr>
      <vt:lpstr>Tekući grantovi 15</vt:lpstr>
      <vt:lpstr>Fond</vt:lpstr>
      <vt:lpstr>Funkcija</vt:lpstr>
      <vt:lpstr>Agencija Stari grad-Pril. br. 9</vt:lpstr>
      <vt:lpstr>List8</vt:lpstr>
      <vt:lpstr>' SL inf Kapitalni grantovi 14'!Ispis_naslova</vt:lpstr>
      <vt:lpstr>'Agencija Stari grad-Pril. br. 9'!Ispis_naslova</vt:lpstr>
      <vt:lpstr>'GP Prihodi'!Ispis_naslova</vt:lpstr>
      <vt:lpstr>'Građenje i obnova-Prilog br.5'!Ispis_naslova</vt:lpstr>
      <vt:lpstr>Naslovnica!Ispis_naslova</vt:lpstr>
      <vt:lpstr>'prihodi posebni dio'!Ispis_naslova</vt:lpstr>
      <vt:lpstr>'Prihodi-opći dio'!Ispis_naslova</vt:lpstr>
      <vt:lpstr>'Rashodi i izdaci-opći dio'!Ispis_naslova</vt:lpstr>
      <vt:lpstr>'Rashodi i izdaci-poseban dio'!Ispis_naslova</vt:lpstr>
      <vt:lpstr>'Sl za gra. Nak od ele. pr PR 7'!Ispis_naslova</vt:lpstr>
      <vt:lpstr>'Sl. za gr. inf GP Pri 6'!Ispis_naslova</vt:lpstr>
      <vt:lpstr>'Sl. za kom. posl.-Prilog br. 10'!Ispis_naslova</vt:lpstr>
      <vt:lpstr>'Slu izg inf stru ob Ka gran 8 '!Ispis_naslova</vt:lpstr>
      <vt:lpstr>'Služba za kulturu-Prilog br. 1'!Ispis_naslova</vt:lpstr>
      <vt:lpstr>'Služba za odgoj-Prilog br. 2'!Ispis_naslova</vt:lpstr>
      <vt:lpstr>'Služba za privredu-Prilog br.9'!Ispis_naslova</vt:lpstr>
      <vt:lpstr>'Socijani segment-Prilog br.3'!Ispis_naslova</vt:lpstr>
      <vt:lpstr>'Tekući grantovi 15'!Ispis_naslova</vt:lpstr>
      <vt:lpstr>'Zaštita boraca-Prilog br.4'!Ispis_naslova</vt:lpstr>
      <vt:lpstr>' SL inf Kapitalni grantovi 14'!Podrucje_ispisa</vt:lpstr>
      <vt:lpstr>'ASG tab 12'!Podrucje_ispisa</vt:lpstr>
      <vt:lpstr>'BSC Prilog br 11'!Podrucje_ispisa</vt:lpstr>
      <vt:lpstr>Fond!Podrucje_ispisa</vt:lpstr>
      <vt:lpstr>Funkcija!Podrucje_ispisa</vt:lpstr>
      <vt:lpstr>'GP KAPITA GRA'!Podrucje_ispisa</vt:lpstr>
      <vt:lpstr>'GP Prihodi'!Podrucje_ispisa</vt:lpstr>
      <vt:lpstr>'GP PRIHODI 2021'!Podrucje_ispisa</vt:lpstr>
      <vt:lpstr>'GP prihodi tab 13'!Podrucje_ispisa</vt:lpstr>
      <vt:lpstr>'Građenje i obnova-Prilog br.5'!Podrucje_ispisa</vt:lpstr>
      <vt:lpstr>Naslovnica!Podrucje_ispisa</vt:lpstr>
      <vt:lpstr>'Naslovnica-nevažeća'!Podrucje_ispisa</vt:lpstr>
      <vt:lpstr>'prihodi posebni dio'!Podrucje_ispisa</vt:lpstr>
      <vt:lpstr>'Prihodi-opći dio'!Podrucje_ispisa</vt:lpstr>
      <vt:lpstr>'Rashodi i izdaci-opći dio'!Podrucje_ispisa</vt:lpstr>
      <vt:lpstr>'Rashodi i izdaci-poseban dio'!Podrucje_ispisa</vt:lpstr>
      <vt:lpstr>'Sl za gra. Nak od ele. pr PR 7'!Podrucje_ispisa</vt:lpstr>
      <vt:lpstr>'Sl. za gr. inf GP Pri 6'!Podrucje_ispisa</vt:lpstr>
      <vt:lpstr>'Sl. za kom. posl.-Prilog br. 10'!Podrucje_ispisa</vt:lpstr>
      <vt:lpstr>'Slu izg inf stru ob Ka gran 8 '!Podrucje_ispisa</vt:lpstr>
      <vt:lpstr>'Služba za kulturu-Prilog br. 1'!Podrucje_ispisa</vt:lpstr>
      <vt:lpstr>'Služba za nekretnine'!Podrucje_ispisa</vt:lpstr>
      <vt:lpstr>'Služba za odgoj-Prilog br. 2'!Podrucje_ispisa</vt:lpstr>
      <vt:lpstr>'Služba za privredu-Prilog br.9'!Podrucje_ispisa</vt:lpstr>
      <vt:lpstr>'Socijani segment-Prilog br.3'!Podrucje_ispisa</vt:lpstr>
      <vt:lpstr>'Tekući grantovi 15'!Podrucje_ispisa</vt:lpstr>
      <vt:lpstr>'Zaštita boraca-Prilog br.4'!Podrucje_ispisa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</dc:creator>
  <cp:lastModifiedBy>radmilak</cp:lastModifiedBy>
  <cp:lastPrinted>2021-12-01T07:49:58Z</cp:lastPrinted>
  <dcterms:created xsi:type="dcterms:W3CDTF">2015-06-05T18:17:20Z</dcterms:created>
  <dcterms:modified xsi:type="dcterms:W3CDTF">2021-12-01T07:50:31Z</dcterms:modified>
</cp:coreProperties>
</file>